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9440" windowHeight="11655" tabRatio="648" activeTab="5"/>
  </bookViews>
  <sheets>
    <sheet name="1." sheetId="1" r:id="rId1"/>
    <sheet name="2." sheetId="2" r:id="rId2"/>
    <sheet name="2_A" sheetId="22" r:id="rId3"/>
    <sheet name="3." sheetId="3" r:id="rId4"/>
    <sheet name="4." sheetId="4" r:id="rId5"/>
    <sheet name="5." sheetId="7" r:id="rId6"/>
    <sheet name="5_A_Feladatok" sheetId="20" r:id="rId7"/>
    <sheet name="6." sheetId="10" r:id="rId8"/>
    <sheet name="6_A_könyvtár" sheetId="17" r:id="rId9"/>
    <sheet name="Redezvények" sheetId="23" r:id="rId10"/>
    <sheet name="6_B_Konyha" sheetId="18" r:id="rId11"/>
    <sheet name="6_C_Gondkp" sheetId="19" r:id="rId12"/>
    <sheet name="6_D_Ovoda" sheetId="21" r:id="rId13"/>
    <sheet name="7." sheetId="5" r:id="rId14"/>
    <sheet name="8." sheetId="6" r:id="rId15"/>
    <sheet name="9." sheetId="9" r:id="rId16"/>
    <sheet name="10." sheetId="8" r:id="rId17"/>
    <sheet name="11." sheetId="11" r:id="rId18"/>
    <sheet name="12." sheetId="12" r:id="rId19"/>
    <sheet name="13." sheetId="13" r:id="rId20"/>
    <sheet name="14." sheetId="14" r:id="rId21"/>
    <sheet name="15." sheetId="16" r:id="rId22"/>
    <sheet name="16." sheetId="15" r:id="rId23"/>
    <sheet name="17." sheetId="24" r:id="rId24"/>
  </sheets>
  <calcPr calcId="145621"/>
</workbook>
</file>

<file path=xl/calcChain.xml><?xml version="1.0" encoding="utf-8"?>
<calcChain xmlns="http://schemas.openxmlformats.org/spreadsheetml/2006/main">
  <c r="AA25" i="15" l="1"/>
  <c r="AA44" i="15"/>
  <c r="D63" i="1"/>
  <c r="D124" i="1"/>
  <c r="B122" i="1" s="1"/>
  <c r="F113" i="7"/>
  <c r="C46" i="22"/>
  <c r="F55" i="22" l="1"/>
  <c r="E26" i="8" l="1"/>
  <c r="D9" i="8"/>
  <c r="G9" i="8"/>
  <c r="C53" i="7"/>
  <c r="S39" i="20"/>
  <c r="G47" i="21"/>
  <c r="G38" i="21"/>
  <c r="H28" i="21"/>
  <c r="H27" i="21"/>
  <c r="H26" i="21"/>
  <c r="H25" i="21"/>
  <c r="H24" i="21"/>
  <c r="H23" i="21"/>
  <c r="H30" i="21"/>
  <c r="H31" i="21"/>
  <c r="H32" i="21"/>
  <c r="H33" i="21"/>
  <c r="H35" i="21"/>
  <c r="H36" i="21"/>
  <c r="H37" i="21"/>
  <c r="H29" i="21"/>
  <c r="H38" i="21" l="1"/>
  <c r="I38" i="21" s="1"/>
  <c r="I39" i="21" s="1"/>
  <c r="F28" i="20"/>
  <c r="E9" i="24" l="1"/>
  <c r="E16" i="23" l="1"/>
  <c r="E14" i="23" l="1"/>
  <c r="C32" i="17" s="1"/>
  <c r="G8" i="8" l="1"/>
  <c r="H15" i="4" l="1"/>
  <c r="C124" i="7"/>
  <c r="B73" i="1" l="1"/>
  <c r="J26" i="11" l="1"/>
  <c r="J25" i="11"/>
  <c r="J24" i="11"/>
  <c r="J23" i="11"/>
  <c r="E26" i="11"/>
  <c r="E25" i="11"/>
  <c r="E24" i="11"/>
  <c r="E23" i="11"/>
  <c r="J27" i="11" l="1"/>
  <c r="E15" i="11" s="1"/>
  <c r="I23" i="15"/>
  <c r="I22" i="15"/>
  <c r="AA22" i="15" s="1"/>
  <c r="F22" i="15"/>
  <c r="H22" i="15" s="1"/>
  <c r="D6" i="9"/>
  <c r="C6" i="9"/>
  <c r="H11" i="2"/>
  <c r="D58" i="22"/>
  <c r="F58" i="22" s="1"/>
  <c r="F71" i="22"/>
  <c r="F70" i="22"/>
  <c r="F59" i="22"/>
  <c r="S30" i="20"/>
  <c r="B133" i="1"/>
  <c r="AC23" i="15" s="1"/>
  <c r="C102" i="7"/>
  <c r="J22" i="15" l="1"/>
  <c r="L22" i="15" s="1"/>
  <c r="N22" i="15" s="1"/>
  <c r="P22" i="15" s="1"/>
  <c r="R22" i="15" s="1"/>
  <c r="T22" i="15" s="1"/>
  <c r="V22" i="15" s="1"/>
  <c r="X22" i="15" s="1"/>
  <c r="Z22" i="15" s="1"/>
  <c r="H31" i="2"/>
  <c r="F36" i="12"/>
  <c r="Y43" i="15"/>
  <c r="Q41" i="20"/>
  <c r="Q10" i="20"/>
  <c r="J11" i="22"/>
  <c r="C11" i="22" s="1"/>
  <c r="D11" i="22" s="1"/>
  <c r="F11" i="22" s="1"/>
  <c r="C19" i="19" l="1"/>
  <c r="C17" i="18"/>
  <c r="C18" i="18" s="1"/>
  <c r="C17" i="17"/>
  <c r="C16" i="17"/>
  <c r="C25" i="10"/>
  <c r="B19" i="8"/>
  <c r="G10" i="8"/>
  <c r="B18" i="8"/>
  <c r="G7" i="8"/>
  <c r="H30" i="4" l="1"/>
  <c r="C13" i="17"/>
  <c r="C51" i="10"/>
  <c r="D28" i="20"/>
  <c r="E28" i="20"/>
  <c r="G28" i="20"/>
  <c r="H28" i="20"/>
  <c r="I28" i="20"/>
  <c r="J28" i="20"/>
  <c r="K28" i="20"/>
  <c r="L28" i="20"/>
  <c r="M28" i="20"/>
  <c r="N28" i="20"/>
  <c r="O28" i="20"/>
  <c r="P28" i="20"/>
  <c r="R28" i="20"/>
  <c r="C28" i="20"/>
  <c r="U11" i="20"/>
  <c r="U22" i="20"/>
  <c r="U27" i="20"/>
  <c r="H9" i="2" l="1"/>
  <c r="H12" i="2"/>
  <c r="H10" i="2"/>
  <c r="H8" i="2"/>
  <c r="D66" i="22"/>
  <c r="H16" i="2" s="1"/>
  <c r="D67" i="22"/>
  <c r="D23" i="3"/>
  <c r="C24" i="5"/>
  <c r="B24" i="5"/>
  <c r="C23" i="5"/>
  <c r="B23" i="5"/>
  <c r="C22" i="5"/>
  <c r="B22" i="5"/>
  <c r="E32" i="17"/>
  <c r="G25" i="4"/>
  <c r="F25" i="4"/>
  <c r="E25" i="4"/>
  <c r="D25" i="4"/>
  <c r="C25" i="4"/>
  <c r="B48" i="1"/>
  <c r="G13" i="8" s="1"/>
  <c r="C25" i="5" l="1"/>
  <c r="AD25" i="15"/>
  <c r="Y14" i="15"/>
  <c r="W14" i="15"/>
  <c r="U14" i="15"/>
  <c r="S14" i="15"/>
  <c r="Q14" i="15"/>
  <c r="O14" i="15"/>
  <c r="M14" i="15"/>
  <c r="K14" i="15"/>
  <c r="I14" i="15"/>
  <c r="G14" i="15"/>
  <c r="E14" i="15"/>
  <c r="C14" i="15"/>
  <c r="AE14" i="15"/>
  <c r="Y13" i="15"/>
  <c r="W13" i="15"/>
  <c r="U13" i="15"/>
  <c r="S13" i="15"/>
  <c r="Q13" i="15"/>
  <c r="O13" i="15"/>
  <c r="M13" i="15"/>
  <c r="K13" i="15"/>
  <c r="I13" i="15"/>
  <c r="G13" i="15"/>
  <c r="E13" i="15"/>
  <c r="C13" i="15"/>
  <c r="Y12" i="15"/>
  <c r="W12" i="15"/>
  <c r="U12" i="15"/>
  <c r="S12" i="15"/>
  <c r="Q12" i="15"/>
  <c r="O12" i="15"/>
  <c r="M12" i="15"/>
  <c r="K12" i="15"/>
  <c r="I12" i="15"/>
  <c r="G12" i="15"/>
  <c r="E12" i="15"/>
  <c r="C12" i="15"/>
  <c r="Z43" i="15"/>
  <c r="AA43" i="15"/>
  <c r="Y31" i="15"/>
  <c r="Y32" i="15"/>
  <c r="Y33" i="15"/>
  <c r="Y34" i="15"/>
  <c r="Y35" i="15"/>
  <c r="Y36" i="15"/>
  <c r="W31" i="15"/>
  <c r="W32" i="15"/>
  <c r="W33" i="15"/>
  <c r="W34" i="15"/>
  <c r="W35" i="15"/>
  <c r="W36" i="15"/>
  <c r="U31" i="15"/>
  <c r="U32" i="15"/>
  <c r="U33" i="15"/>
  <c r="U34" i="15"/>
  <c r="U35" i="15"/>
  <c r="U36" i="15"/>
  <c r="S31" i="15"/>
  <c r="S32" i="15"/>
  <c r="S33" i="15"/>
  <c r="S34" i="15"/>
  <c r="S35" i="15"/>
  <c r="S36" i="15"/>
  <c r="Q31" i="15"/>
  <c r="Q32" i="15"/>
  <c r="Q33" i="15"/>
  <c r="Q34" i="15"/>
  <c r="Q35" i="15"/>
  <c r="Q36" i="15"/>
  <c r="O31" i="15"/>
  <c r="O32" i="15"/>
  <c r="O33" i="15"/>
  <c r="O34" i="15"/>
  <c r="O35" i="15"/>
  <c r="O36" i="15"/>
  <c r="M31" i="15"/>
  <c r="M32" i="15"/>
  <c r="M33" i="15"/>
  <c r="M34" i="15"/>
  <c r="M35" i="15"/>
  <c r="M36" i="15"/>
  <c r="K31" i="15"/>
  <c r="K32" i="15"/>
  <c r="K33" i="15"/>
  <c r="K34" i="15"/>
  <c r="K35" i="15"/>
  <c r="K36" i="15"/>
  <c r="I31" i="15"/>
  <c r="I32" i="15"/>
  <c r="I33" i="15"/>
  <c r="I34" i="15"/>
  <c r="I35" i="15"/>
  <c r="I36" i="15"/>
  <c r="G31" i="15"/>
  <c r="G32" i="15"/>
  <c r="G33" i="15"/>
  <c r="G34" i="15"/>
  <c r="G35" i="15"/>
  <c r="G36" i="15"/>
  <c r="E31" i="15"/>
  <c r="E32" i="15"/>
  <c r="E33" i="15"/>
  <c r="E34" i="15"/>
  <c r="E35" i="15"/>
  <c r="E36" i="15"/>
  <c r="C33" i="15"/>
  <c r="C34" i="15"/>
  <c r="C35" i="15"/>
  <c r="C36" i="15"/>
  <c r="C31" i="15"/>
  <c r="C32" i="15"/>
  <c r="Y30" i="15"/>
  <c r="W30" i="15"/>
  <c r="U30" i="15"/>
  <c r="S30" i="15"/>
  <c r="Q30" i="15"/>
  <c r="O30" i="15"/>
  <c r="M30" i="15"/>
  <c r="K30" i="15"/>
  <c r="I30" i="15"/>
  <c r="G30" i="15"/>
  <c r="E30" i="15"/>
  <c r="C30" i="15"/>
  <c r="AC22" i="15"/>
  <c r="G127" i="7"/>
  <c r="H127" i="7"/>
  <c r="AC35" i="15"/>
  <c r="AC39" i="15"/>
  <c r="AC41" i="15"/>
  <c r="AA52" i="15" l="1"/>
  <c r="E16" i="11" l="1"/>
  <c r="E36" i="7" l="1"/>
  <c r="E42" i="10"/>
  <c r="E44" i="10"/>
  <c r="E45" i="10"/>
  <c r="E46" i="10"/>
  <c r="E25" i="7"/>
  <c r="E37" i="10"/>
  <c r="E38" i="10"/>
  <c r="E39" i="10"/>
  <c r="E40" i="10"/>
  <c r="E41" i="10"/>
  <c r="E47" i="10"/>
  <c r="E48" i="10"/>
  <c r="E36" i="10"/>
  <c r="E35" i="10"/>
  <c r="E33" i="10"/>
  <c r="E32" i="10"/>
  <c r="E31" i="10"/>
  <c r="E30" i="10"/>
  <c r="E29" i="21"/>
  <c r="E30" i="21"/>
  <c r="E31" i="21"/>
  <c r="E32" i="21"/>
  <c r="E33" i="21"/>
  <c r="E35" i="21"/>
  <c r="E36" i="21"/>
  <c r="E28" i="21"/>
  <c r="E26" i="21"/>
  <c r="E25" i="21"/>
  <c r="E24" i="21"/>
  <c r="E23" i="21"/>
  <c r="E22" i="21"/>
  <c r="E30" i="19"/>
  <c r="E37" i="19"/>
  <c r="E40" i="19" s="1"/>
  <c r="C40" i="19" s="1"/>
  <c r="E35" i="19"/>
  <c r="E34" i="19"/>
  <c r="E33" i="19"/>
  <c r="E32" i="19"/>
  <c r="E31" i="19"/>
  <c r="E29" i="19"/>
  <c r="E27" i="19"/>
  <c r="E26" i="19"/>
  <c r="E25" i="19"/>
  <c r="E24" i="19"/>
  <c r="E23" i="19"/>
  <c r="E27" i="17"/>
  <c r="E33" i="17"/>
  <c r="E30" i="17"/>
  <c r="E29" i="17"/>
  <c r="E28" i="17"/>
  <c r="E26" i="17"/>
  <c r="E24" i="17"/>
  <c r="E23" i="17"/>
  <c r="E22" i="17"/>
  <c r="E21" i="17"/>
  <c r="E20" i="17"/>
  <c r="F38" i="22"/>
  <c r="F6" i="22"/>
  <c r="F9" i="22"/>
  <c r="F10" i="22"/>
  <c r="F13" i="22"/>
  <c r="F16" i="22"/>
  <c r="F23" i="22"/>
  <c r="E34" i="18"/>
  <c r="E32" i="18"/>
  <c r="E31" i="18"/>
  <c r="E30" i="18"/>
  <c r="E29" i="18"/>
  <c r="E28" i="18"/>
  <c r="E21" i="18"/>
  <c r="E22" i="18"/>
  <c r="E23" i="18"/>
  <c r="E24" i="18"/>
  <c r="E37" i="18" s="1"/>
  <c r="E25" i="18"/>
  <c r="E26" i="18"/>
  <c r="E20" i="18"/>
  <c r="C25" i="11"/>
  <c r="B25" i="11"/>
  <c r="H27" i="2"/>
  <c r="E38" i="21" l="1"/>
  <c r="C38" i="21" s="1"/>
  <c r="C37" i="18"/>
  <c r="E36" i="17"/>
  <c r="C36" i="17" s="1"/>
  <c r="E51" i="10"/>
  <c r="D63" i="22"/>
  <c r="D65" i="22"/>
  <c r="G6" i="2"/>
  <c r="E8" i="2"/>
  <c r="F26" i="2"/>
  <c r="B88" i="1"/>
  <c r="J36" i="22"/>
  <c r="K35" i="22"/>
  <c r="I35" i="22" s="1"/>
  <c r="J35" i="22" s="1"/>
  <c r="C35" i="22" s="1"/>
  <c r="K34" i="22"/>
  <c r="I34" i="22" s="1"/>
  <c r="J34" i="22" s="1"/>
  <c r="C34" i="22" s="1"/>
  <c r="K21" i="22"/>
  <c r="I21" i="22" s="1"/>
  <c r="J21" i="22" s="1"/>
  <c r="K19" i="22"/>
  <c r="I19" i="22" s="1"/>
  <c r="J19" i="22" s="1"/>
  <c r="C19" i="22" s="1"/>
  <c r="K20" i="22"/>
  <c r="I20" i="22" s="1"/>
  <c r="J20" i="22" s="1"/>
  <c r="C20" i="22" s="1"/>
  <c r="C8" i="2" s="1"/>
  <c r="J18" i="22"/>
  <c r="J17" i="22"/>
  <c r="J15" i="22"/>
  <c r="J14" i="22"/>
  <c r="J12" i="22"/>
  <c r="J8" i="22"/>
  <c r="J7" i="22"/>
  <c r="D68" i="22"/>
  <c r="D62" i="22"/>
  <c r="D53" i="22"/>
  <c r="D52" i="22"/>
  <c r="D51" i="22"/>
  <c r="D64" i="22"/>
  <c r="D54" i="22"/>
  <c r="D61" i="22"/>
  <c r="D60" i="22"/>
  <c r="D57" i="22"/>
  <c r="F57" i="22" s="1"/>
  <c r="D56" i="22"/>
  <c r="F56" i="22" s="1"/>
  <c r="F69" i="22" s="1"/>
  <c r="D44" i="22"/>
  <c r="D37" i="22"/>
  <c r="D36" i="22"/>
  <c r="E36" i="22" s="1"/>
  <c r="D29" i="22"/>
  <c r="D28" i="22"/>
  <c r="D5" i="22"/>
  <c r="F5" i="22" s="1"/>
  <c r="B44" i="7" l="1"/>
  <c r="B30" i="20"/>
  <c r="R29" i="20"/>
  <c r="AF14" i="15"/>
  <c r="G11" i="8"/>
  <c r="G29" i="2" s="1"/>
  <c r="J24" i="22"/>
  <c r="C69" i="22"/>
  <c r="H15" i="2" s="1"/>
  <c r="C30" i="22"/>
  <c r="D19" i="22"/>
  <c r="F19" i="22" s="1"/>
  <c r="C17" i="22"/>
  <c r="D17" i="22" s="1"/>
  <c r="F17" i="22" s="1"/>
  <c r="C12" i="22"/>
  <c r="D12" i="22" s="1"/>
  <c r="F12" i="22" s="1"/>
  <c r="C15" i="22"/>
  <c r="D15" i="22" s="1"/>
  <c r="F15" i="22" s="1"/>
  <c r="C8" i="22"/>
  <c r="D8" i="22" s="1"/>
  <c r="F8" i="22" s="1"/>
  <c r="D20" i="22"/>
  <c r="F20" i="22" s="1"/>
  <c r="C21" i="22"/>
  <c r="C18" i="22"/>
  <c r="D18" i="22" s="1"/>
  <c r="F18" i="22" s="1"/>
  <c r="C14" i="22"/>
  <c r="D14" i="22" s="1"/>
  <c r="F14" i="22" s="1"/>
  <c r="C7" i="22"/>
  <c r="B89" i="1"/>
  <c r="AC14" i="15" s="1"/>
  <c r="D34" i="22"/>
  <c r="D35" i="22"/>
  <c r="E35" i="22" s="1"/>
  <c r="H29" i="2"/>
  <c r="E29" i="2"/>
  <c r="C29" i="2"/>
  <c r="C47" i="22" l="1"/>
  <c r="G8" i="2" s="1"/>
  <c r="F29" i="2"/>
  <c r="C22" i="22"/>
  <c r="B46" i="20" s="1"/>
  <c r="E34" i="22"/>
  <c r="C39" i="22"/>
  <c r="B42" i="19" s="1"/>
  <c r="E20" i="22"/>
  <c r="C31" i="22"/>
  <c r="D11" i="2" s="1"/>
  <c r="D15" i="2"/>
  <c r="E19" i="22"/>
  <c r="D21" i="22"/>
  <c r="F21" i="22" s="1"/>
  <c r="F21" i="12"/>
  <c r="D7" i="22"/>
  <c r="C70" i="22"/>
  <c r="E66" i="12"/>
  <c r="E58" i="12"/>
  <c r="E59" i="12"/>
  <c r="E60" i="12"/>
  <c r="E61" i="12"/>
  <c r="E62" i="12"/>
  <c r="E63" i="12"/>
  <c r="E57" i="12"/>
  <c r="E56" i="12"/>
  <c r="G36" i="12"/>
  <c r="E26" i="12"/>
  <c r="E11" i="12"/>
  <c r="E36" i="12"/>
  <c r="C44" i="21"/>
  <c r="C42" i="21"/>
  <c r="C37" i="21"/>
  <c r="C7" i="19"/>
  <c r="C44" i="18"/>
  <c r="G11" i="2" l="1"/>
  <c r="C12" i="2"/>
  <c r="Q23" i="20"/>
  <c r="D22" i="22"/>
  <c r="C24" i="22" s="1"/>
  <c r="B39" i="18" s="1"/>
  <c r="E21" i="22"/>
  <c r="D19" i="2"/>
  <c r="D8" i="8" s="1"/>
  <c r="C41" i="19"/>
  <c r="F7" i="22"/>
  <c r="C40" i="22"/>
  <c r="E12" i="2" s="1"/>
  <c r="E15" i="2"/>
  <c r="C27" i="21"/>
  <c r="C45" i="21" s="1"/>
  <c r="F9" i="4" s="1"/>
  <c r="C13" i="21"/>
  <c r="C10" i="21"/>
  <c r="C6" i="21"/>
  <c r="F67" i="12"/>
  <c r="F61" i="12"/>
  <c r="E79" i="12"/>
  <c r="E78" i="12"/>
  <c r="F79" i="12"/>
  <c r="E32" i="12"/>
  <c r="F34" i="12"/>
  <c r="G34" i="12" s="1"/>
  <c r="F28" i="12"/>
  <c r="E18" i="12"/>
  <c r="E17" i="12"/>
  <c r="E10" i="12"/>
  <c r="E30" i="12" s="1"/>
  <c r="E38" i="12" s="1"/>
  <c r="H14" i="4"/>
  <c r="B107" i="1"/>
  <c r="M10" i="20"/>
  <c r="L41" i="20"/>
  <c r="L34" i="20"/>
  <c r="L26" i="20"/>
  <c r="L10" i="20"/>
  <c r="S37" i="20"/>
  <c r="C51" i="7" s="1"/>
  <c r="S38" i="20"/>
  <c r="C52" i="7" s="1"/>
  <c r="S40" i="20"/>
  <c r="C54" i="7" s="1"/>
  <c r="S36" i="20"/>
  <c r="C50" i="7" s="1"/>
  <c r="S29" i="20"/>
  <c r="C43" i="7" s="1"/>
  <c r="S31" i="20"/>
  <c r="S32" i="20"/>
  <c r="C46" i="7" s="1"/>
  <c r="S33" i="20"/>
  <c r="R34" i="20"/>
  <c r="S13" i="20"/>
  <c r="S14" i="20"/>
  <c r="S15" i="20"/>
  <c r="S16" i="20"/>
  <c r="S17" i="20"/>
  <c r="S18" i="20"/>
  <c r="S19" i="20"/>
  <c r="C33" i="7" s="1"/>
  <c r="S20" i="20"/>
  <c r="S21" i="20"/>
  <c r="S24" i="20"/>
  <c r="U24" i="20" s="1"/>
  <c r="S25" i="20"/>
  <c r="S12" i="20"/>
  <c r="S5" i="20"/>
  <c r="S6" i="20"/>
  <c r="S7" i="20"/>
  <c r="S8" i="20"/>
  <c r="S9" i="20"/>
  <c r="S4" i="20"/>
  <c r="D41" i="20"/>
  <c r="E41" i="20"/>
  <c r="F41" i="20"/>
  <c r="G41" i="20"/>
  <c r="H41" i="20"/>
  <c r="I41" i="20"/>
  <c r="J41" i="20"/>
  <c r="K41" i="20"/>
  <c r="M41" i="20"/>
  <c r="N41" i="20"/>
  <c r="O41" i="20"/>
  <c r="P41" i="20"/>
  <c r="R41" i="20"/>
  <c r="D34" i="20"/>
  <c r="E34" i="20"/>
  <c r="F34" i="20"/>
  <c r="G34" i="20"/>
  <c r="H34" i="20"/>
  <c r="I34" i="20"/>
  <c r="J34" i="20"/>
  <c r="K34" i="20"/>
  <c r="M34" i="20"/>
  <c r="N34" i="20"/>
  <c r="O34" i="20"/>
  <c r="P34" i="20"/>
  <c r="C41" i="20"/>
  <c r="C34" i="20"/>
  <c r="D26" i="20"/>
  <c r="E26" i="20"/>
  <c r="F26" i="20"/>
  <c r="G26" i="20"/>
  <c r="H26" i="20"/>
  <c r="I26" i="20"/>
  <c r="J26" i="20"/>
  <c r="K26" i="20"/>
  <c r="M26" i="20"/>
  <c r="N26" i="20"/>
  <c r="O26" i="20"/>
  <c r="P26" i="20"/>
  <c r="R26" i="20"/>
  <c r="D10" i="20"/>
  <c r="E10" i="20"/>
  <c r="F10" i="20"/>
  <c r="G10" i="20"/>
  <c r="H10" i="20"/>
  <c r="I10" i="20"/>
  <c r="J10" i="20"/>
  <c r="K10" i="20"/>
  <c r="N10" i="20"/>
  <c r="O10" i="20"/>
  <c r="P10" i="20"/>
  <c r="R10" i="20"/>
  <c r="C26" i="20"/>
  <c r="C10" i="20"/>
  <c r="D43" i="20" l="1"/>
  <c r="AC16" i="15"/>
  <c r="H20" i="2"/>
  <c r="B47" i="20"/>
  <c r="Q26" i="20"/>
  <c r="S23" i="20"/>
  <c r="Q28" i="20"/>
  <c r="C18" i="7"/>
  <c r="E18" i="7" s="1"/>
  <c r="U4" i="20"/>
  <c r="C22" i="7"/>
  <c r="E22" i="7" s="1"/>
  <c r="U8" i="20"/>
  <c r="C20" i="7"/>
  <c r="E20" i="7" s="1"/>
  <c r="U6" i="20"/>
  <c r="C26" i="7"/>
  <c r="E26" i="7" s="1"/>
  <c r="U12" i="20"/>
  <c r="C38" i="7"/>
  <c r="E38" i="7" s="1"/>
  <c r="C34" i="7"/>
  <c r="E34" i="7" s="1"/>
  <c r="U20" i="20"/>
  <c r="C30" i="7"/>
  <c r="E30" i="7" s="1"/>
  <c r="U16" i="20"/>
  <c r="C28" i="7"/>
  <c r="E28" i="7" s="1"/>
  <c r="U14" i="20"/>
  <c r="C45" i="7"/>
  <c r="U31" i="20"/>
  <c r="C23" i="7"/>
  <c r="E23" i="7" s="1"/>
  <c r="U9" i="20"/>
  <c r="C21" i="7"/>
  <c r="E21" i="7" s="1"/>
  <c r="U7" i="20"/>
  <c r="C39" i="7"/>
  <c r="E39" i="7" s="1"/>
  <c r="U25" i="20"/>
  <c r="C35" i="7"/>
  <c r="E35" i="7" s="1"/>
  <c r="U21" i="20"/>
  <c r="C31" i="7"/>
  <c r="E31" i="7" s="1"/>
  <c r="U17" i="20"/>
  <c r="C29" i="7"/>
  <c r="E29" i="7" s="1"/>
  <c r="U15" i="20"/>
  <c r="C27" i="7"/>
  <c r="E27" i="7" s="1"/>
  <c r="U13" i="20"/>
  <c r="F22" i="22"/>
  <c r="F24" i="22" s="1"/>
  <c r="E22" i="22"/>
  <c r="C19" i="7"/>
  <c r="E19" i="7" s="1"/>
  <c r="U5" i="20"/>
  <c r="C47" i="7"/>
  <c r="E47" i="7" s="1"/>
  <c r="U33" i="20"/>
  <c r="C32" i="7"/>
  <c r="E32" i="7" s="1"/>
  <c r="U18" i="20"/>
  <c r="C25" i="22"/>
  <c r="C15" i="2"/>
  <c r="C38" i="18"/>
  <c r="F32" i="12"/>
  <c r="G32" i="12" s="1"/>
  <c r="C15" i="21"/>
  <c r="R43" i="20"/>
  <c r="L43" i="20"/>
  <c r="O43" i="20"/>
  <c r="J43" i="20"/>
  <c r="S10" i="20"/>
  <c r="G43" i="20"/>
  <c r="S41" i="20"/>
  <c r="K43" i="20"/>
  <c r="N43" i="20"/>
  <c r="H43" i="20"/>
  <c r="C43" i="20"/>
  <c r="E43" i="20"/>
  <c r="P43" i="20"/>
  <c r="M43" i="20"/>
  <c r="I43" i="20"/>
  <c r="F43" i="20"/>
  <c r="B55" i="5"/>
  <c r="C55" i="5"/>
  <c r="U23" i="20" l="1"/>
  <c r="C37" i="7"/>
  <c r="E37" i="7" s="1"/>
  <c r="E49" i="7" s="1"/>
  <c r="S26" i="20"/>
  <c r="Q34" i="20"/>
  <c r="S28" i="20"/>
  <c r="Q43" i="20"/>
  <c r="C18" i="21"/>
  <c r="F7" i="4"/>
  <c r="U35" i="20"/>
  <c r="F68" i="10"/>
  <c r="F69" i="10"/>
  <c r="F70" i="10"/>
  <c r="F67" i="10"/>
  <c r="C71" i="10"/>
  <c r="C73" i="10" s="1"/>
  <c r="G11" i="4" s="1"/>
  <c r="C42" i="7" l="1"/>
  <c r="S34" i="20"/>
  <c r="S43" i="20" s="1"/>
  <c r="C19" i="21"/>
  <c r="F71" i="10"/>
  <c r="G71" i="10" s="1"/>
  <c r="E6" i="14"/>
  <c r="F6" i="14" s="1"/>
  <c r="G6" i="14" s="1"/>
  <c r="H6" i="14" s="1"/>
  <c r="I6" i="14" s="1"/>
  <c r="D31" i="13"/>
  <c r="D23" i="13"/>
  <c r="C81" i="7"/>
  <c r="F8" i="4" l="1"/>
  <c r="F16" i="4" s="1"/>
  <c r="C47" i="21"/>
  <c r="F48" i="21" s="1"/>
  <c r="H48" i="21" s="1"/>
  <c r="E18" i="11"/>
  <c r="E6" i="9"/>
  <c r="E6" i="6"/>
  <c r="C18" i="3"/>
  <c r="C25" i="3"/>
  <c r="E12" i="12" l="1"/>
  <c r="B111" i="1"/>
  <c r="B82" i="1"/>
  <c r="F20" i="12" s="1"/>
  <c r="AC21" i="15" l="1"/>
  <c r="H21" i="2"/>
  <c r="B69" i="1"/>
  <c r="B62" i="1"/>
  <c r="B55" i="1"/>
  <c r="F19" i="12" l="1"/>
  <c r="F18" i="12" s="1"/>
  <c r="F17" i="12" s="1"/>
  <c r="B74" i="1"/>
  <c r="B84" i="1" s="1"/>
  <c r="AC13" i="15"/>
  <c r="B91" i="1"/>
  <c r="B27" i="11"/>
  <c r="C24" i="11"/>
  <c r="C26" i="11"/>
  <c r="C23" i="11"/>
  <c r="B24" i="11"/>
  <c r="B26" i="11"/>
  <c r="B23" i="11"/>
  <c r="B92" i="1" l="1"/>
  <c r="H21" i="8" s="1"/>
  <c r="G28" i="8"/>
  <c r="B33" i="12"/>
  <c r="A7" i="1"/>
  <c r="A19" i="1"/>
  <c r="A18" i="1"/>
  <c r="A17" i="1"/>
  <c r="A16" i="1"/>
  <c r="A15" i="1"/>
  <c r="A14" i="1"/>
  <c r="A13" i="1"/>
  <c r="A12" i="1"/>
  <c r="A11" i="1"/>
  <c r="A10" i="1"/>
  <c r="A8" i="1"/>
  <c r="A9" i="1"/>
  <c r="C27" i="3" l="1"/>
  <c r="C34" i="3" s="1"/>
  <c r="I21" i="4"/>
  <c r="I23" i="4"/>
  <c r="I17" i="4"/>
  <c r="H22" i="2"/>
  <c r="G22" i="2"/>
  <c r="C47" i="19"/>
  <c r="C45" i="19"/>
  <c r="C39" i="19"/>
  <c r="C28" i="19"/>
  <c r="C20" i="19"/>
  <c r="E8" i="4" s="1"/>
  <c r="C15" i="19"/>
  <c r="C12" i="19"/>
  <c r="C42" i="18"/>
  <c r="C36" i="18"/>
  <c r="C27" i="18"/>
  <c r="C8" i="4"/>
  <c r="C14" i="18"/>
  <c r="C11" i="18"/>
  <c r="C6" i="18"/>
  <c r="C44" i="17"/>
  <c r="C39" i="17"/>
  <c r="C35" i="17"/>
  <c r="C25" i="17"/>
  <c r="D8" i="4"/>
  <c r="C12" i="17"/>
  <c r="C9" i="17"/>
  <c r="C6" i="17"/>
  <c r="C49" i="10"/>
  <c r="C40" i="7"/>
  <c r="C62" i="7"/>
  <c r="C7" i="7"/>
  <c r="C14" i="7" s="1"/>
  <c r="C15" i="7" s="1"/>
  <c r="H8" i="4" s="1"/>
  <c r="C38" i="5"/>
  <c r="C14" i="5"/>
  <c r="F33" i="4"/>
  <c r="I32" i="4"/>
  <c r="I31" i="4"/>
  <c r="I30" i="4"/>
  <c r="I28" i="4"/>
  <c r="I27" i="4"/>
  <c r="F78" i="12" s="1"/>
  <c r="F30" i="2"/>
  <c r="H19" i="2"/>
  <c r="D13" i="8" l="1"/>
  <c r="H26" i="2"/>
  <c r="H28" i="2" s="1"/>
  <c r="F26" i="4"/>
  <c r="C9" i="8"/>
  <c r="C15" i="18"/>
  <c r="C7" i="4" s="1"/>
  <c r="C16" i="19"/>
  <c r="E7" i="4" s="1"/>
  <c r="C48" i="19"/>
  <c r="E9" i="4" s="1"/>
  <c r="C45" i="18"/>
  <c r="C9" i="4" s="1"/>
  <c r="C45" i="17"/>
  <c r="D9" i="4" s="1"/>
  <c r="D7" i="4"/>
  <c r="D22" i="2"/>
  <c r="D16" i="4" l="1"/>
  <c r="D26" i="4" s="1"/>
  <c r="E9" i="8"/>
  <c r="H9" i="8" s="1"/>
  <c r="C136" i="7" s="1"/>
  <c r="D26" i="2"/>
  <c r="D28" i="2" s="1"/>
  <c r="C50" i="19"/>
  <c r="C47" i="18"/>
  <c r="C47" i="17"/>
  <c r="D7" i="16"/>
  <c r="C7" i="16"/>
  <c r="E6" i="16"/>
  <c r="F6" i="16" s="1"/>
  <c r="F9" i="8" l="1"/>
  <c r="F7" i="16"/>
  <c r="G6" i="16"/>
  <c r="E7" i="16"/>
  <c r="D43" i="15"/>
  <c r="F43" i="15" s="1"/>
  <c r="Y42" i="15"/>
  <c r="W42" i="15"/>
  <c r="U42" i="15"/>
  <c r="S42" i="15"/>
  <c r="Q42" i="15"/>
  <c r="O42" i="15"/>
  <c r="M42" i="15"/>
  <c r="K42" i="15"/>
  <c r="I42" i="15"/>
  <c r="G42" i="15"/>
  <c r="E42" i="15"/>
  <c r="C42" i="15"/>
  <c r="AA41" i="15"/>
  <c r="D41" i="15"/>
  <c r="F41" i="15" s="1"/>
  <c r="H41" i="15" s="1"/>
  <c r="J41" i="15" s="1"/>
  <c r="L41" i="15" s="1"/>
  <c r="N41" i="15" s="1"/>
  <c r="P41" i="15" s="1"/>
  <c r="R41" i="15" s="1"/>
  <c r="T41" i="15" s="1"/>
  <c r="V41" i="15" s="1"/>
  <c r="X41" i="15" s="1"/>
  <c r="Z41" i="15" s="1"/>
  <c r="AA40" i="15"/>
  <c r="D40" i="15"/>
  <c r="F40" i="15" s="1"/>
  <c r="H40" i="15" s="1"/>
  <c r="J40" i="15" s="1"/>
  <c r="L40" i="15" s="1"/>
  <c r="N40" i="15" s="1"/>
  <c r="P40" i="15" s="1"/>
  <c r="R40" i="15" s="1"/>
  <c r="T40" i="15" s="1"/>
  <c r="V40" i="15" s="1"/>
  <c r="X40" i="15" s="1"/>
  <c r="Z40" i="15" s="1"/>
  <c r="AA39" i="15"/>
  <c r="F39" i="15"/>
  <c r="H39" i="15" s="1"/>
  <c r="J39" i="15" s="1"/>
  <c r="L39" i="15" s="1"/>
  <c r="N39" i="15" s="1"/>
  <c r="P39" i="15" s="1"/>
  <c r="R39" i="15" s="1"/>
  <c r="T39" i="15" s="1"/>
  <c r="V39" i="15" s="1"/>
  <c r="X39" i="15" s="1"/>
  <c r="Z39" i="15" s="1"/>
  <c r="D39" i="15"/>
  <c r="AA38" i="15"/>
  <c r="D38" i="15"/>
  <c r="D42" i="15" s="1"/>
  <c r="W37" i="15"/>
  <c r="Q37" i="15"/>
  <c r="O37" i="15"/>
  <c r="O44" i="15" s="1"/>
  <c r="K37" i="15"/>
  <c r="K44" i="15" s="1"/>
  <c r="E37" i="15"/>
  <c r="E44" i="15" s="1"/>
  <c r="AA36" i="15"/>
  <c r="D36" i="15"/>
  <c r="F36" i="15" s="1"/>
  <c r="H36" i="15" s="1"/>
  <c r="J36" i="15" s="1"/>
  <c r="L36" i="15" s="1"/>
  <c r="N36" i="15" s="1"/>
  <c r="P36" i="15" s="1"/>
  <c r="R36" i="15" s="1"/>
  <c r="T36" i="15" s="1"/>
  <c r="V36" i="15" s="1"/>
  <c r="X36" i="15" s="1"/>
  <c r="Z36" i="15" s="1"/>
  <c r="AA35" i="15"/>
  <c r="D35" i="15"/>
  <c r="F35" i="15" s="1"/>
  <c r="H35" i="15" s="1"/>
  <c r="J35" i="15" s="1"/>
  <c r="L35" i="15" s="1"/>
  <c r="N35" i="15" s="1"/>
  <c r="P35" i="15" s="1"/>
  <c r="R35" i="15" s="1"/>
  <c r="T35" i="15" s="1"/>
  <c r="V35" i="15" s="1"/>
  <c r="X35" i="15" s="1"/>
  <c r="Z35" i="15" s="1"/>
  <c r="U37" i="15"/>
  <c r="U44" i="15" s="1"/>
  <c r="S37" i="15"/>
  <c r="S44" i="15" s="1"/>
  <c r="M37" i="15"/>
  <c r="G37" i="15"/>
  <c r="G44" i="15" s="1"/>
  <c r="I37" i="15"/>
  <c r="D33" i="15"/>
  <c r="F33" i="15" s="1"/>
  <c r="H33" i="15" s="1"/>
  <c r="J33" i="15" s="1"/>
  <c r="L33" i="15" s="1"/>
  <c r="N33" i="15" s="1"/>
  <c r="P33" i="15" s="1"/>
  <c r="R33" i="15" s="1"/>
  <c r="T33" i="15" s="1"/>
  <c r="V33" i="15" s="1"/>
  <c r="X33" i="15" s="1"/>
  <c r="Z33" i="15" s="1"/>
  <c r="AA32" i="15"/>
  <c r="Y37" i="15"/>
  <c r="Y44" i="15" s="1"/>
  <c r="D32" i="15"/>
  <c r="F32" i="15" s="1"/>
  <c r="H32" i="15" s="1"/>
  <c r="J32" i="15" s="1"/>
  <c r="L32" i="15" s="1"/>
  <c r="N32" i="15" s="1"/>
  <c r="P32" i="15" s="1"/>
  <c r="R32" i="15" s="1"/>
  <c r="T32" i="15" s="1"/>
  <c r="V32" i="15" s="1"/>
  <c r="X32" i="15" s="1"/>
  <c r="Z32" i="15" s="1"/>
  <c r="AA31" i="15"/>
  <c r="D31" i="15"/>
  <c r="F31" i="15" s="1"/>
  <c r="H31" i="15" s="1"/>
  <c r="J31" i="15" s="1"/>
  <c r="L31" i="15" s="1"/>
  <c r="N31" i="15" s="1"/>
  <c r="P31" i="15" s="1"/>
  <c r="R31" i="15" s="1"/>
  <c r="T31" i="15" s="1"/>
  <c r="V31" i="15" s="1"/>
  <c r="X31" i="15" s="1"/>
  <c r="Z31" i="15" s="1"/>
  <c r="AA30" i="15"/>
  <c r="D30" i="15"/>
  <c r="F30" i="15" s="1"/>
  <c r="Y24" i="15"/>
  <c r="W24" i="15"/>
  <c r="U24" i="15"/>
  <c r="S24" i="15"/>
  <c r="Q24" i="15"/>
  <c r="O24" i="15"/>
  <c r="M24" i="15"/>
  <c r="K24" i="15"/>
  <c r="I24" i="15"/>
  <c r="G24" i="15"/>
  <c r="E24" i="15"/>
  <c r="D24" i="15"/>
  <c r="C24" i="15"/>
  <c r="AA23" i="15"/>
  <c r="F23" i="15"/>
  <c r="H23" i="15" s="1"/>
  <c r="J23" i="15" s="1"/>
  <c r="L23" i="15" s="1"/>
  <c r="N23" i="15" s="1"/>
  <c r="P23" i="15" s="1"/>
  <c r="R23" i="15" s="1"/>
  <c r="T23" i="15" s="1"/>
  <c r="V23" i="15" s="1"/>
  <c r="AA21" i="15"/>
  <c r="D21" i="15"/>
  <c r="F21" i="15" s="1"/>
  <c r="F24" i="15" s="1"/>
  <c r="Y19" i="15"/>
  <c r="W19" i="15"/>
  <c r="U19" i="15"/>
  <c r="S19" i="15"/>
  <c r="Q19" i="15"/>
  <c r="O19" i="15"/>
  <c r="M19" i="15"/>
  <c r="K19" i="15"/>
  <c r="I19" i="15"/>
  <c r="G19" i="15"/>
  <c r="E19" i="15"/>
  <c r="C19" i="15"/>
  <c r="D19" i="15" s="1"/>
  <c r="AA18" i="15"/>
  <c r="D18" i="15"/>
  <c r="F18" i="15" s="1"/>
  <c r="H18" i="15" s="1"/>
  <c r="J18" i="15" s="1"/>
  <c r="L18" i="15" s="1"/>
  <c r="N18" i="15" s="1"/>
  <c r="P18" i="15" s="1"/>
  <c r="R18" i="15" s="1"/>
  <c r="T18" i="15" s="1"/>
  <c r="V18" i="15" s="1"/>
  <c r="X18" i="15" s="1"/>
  <c r="Z18" i="15" s="1"/>
  <c r="AA17" i="15"/>
  <c r="D17" i="15"/>
  <c r="F17" i="15" s="1"/>
  <c r="H17" i="15" s="1"/>
  <c r="J17" i="15" s="1"/>
  <c r="L17" i="15" s="1"/>
  <c r="N17" i="15" s="1"/>
  <c r="P17" i="15" s="1"/>
  <c r="R17" i="15" s="1"/>
  <c r="T17" i="15" s="1"/>
  <c r="V17" i="15" s="1"/>
  <c r="X17" i="15" s="1"/>
  <c r="Z17" i="15" s="1"/>
  <c r="D16" i="15"/>
  <c r="F16" i="15" s="1"/>
  <c r="H16" i="15" s="1"/>
  <c r="J16" i="15" s="1"/>
  <c r="L16" i="15" s="1"/>
  <c r="N16" i="15" s="1"/>
  <c r="P16" i="15" s="1"/>
  <c r="R16" i="15" s="1"/>
  <c r="T16" i="15" s="1"/>
  <c r="V16" i="15" s="1"/>
  <c r="X16" i="15" s="1"/>
  <c r="Z16" i="15" s="1"/>
  <c r="AA16" i="15"/>
  <c r="AA15" i="15"/>
  <c r="D15" i="15"/>
  <c r="F15" i="15" s="1"/>
  <c r="H15" i="15" s="1"/>
  <c r="J15" i="15" s="1"/>
  <c r="L15" i="15" s="1"/>
  <c r="N15" i="15" s="1"/>
  <c r="P15" i="15" s="1"/>
  <c r="R15" i="15" s="1"/>
  <c r="T15" i="15" s="1"/>
  <c r="V15" i="15" s="1"/>
  <c r="X15" i="15" s="1"/>
  <c r="Z15" i="15" s="1"/>
  <c r="D14" i="15"/>
  <c r="F14" i="15" s="1"/>
  <c r="H14" i="15" s="1"/>
  <c r="J14" i="15" s="1"/>
  <c r="L14" i="15" s="1"/>
  <c r="N14" i="15" s="1"/>
  <c r="P14" i="15" s="1"/>
  <c r="R14" i="15" s="1"/>
  <c r="T14" i="15" s="1"/>
  <c r="V14" i="15" s="1"/>
  <c r="X14" i="15" s="1"/>
  <c r="Z14" i="15" s="1"/>
  <c r="AA14" i="15"/>
  <c r="AA13" i="15"/>
  <c r="Y20" i="15"/>
  <c r="Y25" i="15" s="1"/>
  <c r="W20" i="15"/>
  <c r="W25" i="15" s="1"/>
  <c r="U20" i="15"/>
  <c r="U25" i="15" s="1"/>
  <c r="S20" i="15"/>
  <c r="S25" i="15" s="1"/>
  <c r="Q20" i="15"/>
  <c r="Q25" i="15" s="1"/>
  <c r="O20" i="15"/>
  <c r="O25" i="15" s="1"/>
  <c r="M20" i="15"/>
  <c r="M25" i="15" s="1"/>
  <c r="K20" i="15"/>
  <c r="K25" i="15" s="1"/>
  <c r="K45" i="15" s="1"/>
  <c r="I20" i="15"/>
  <c r="I25" i="15" s="1"/>
  <c r="G20" i="15"/>
  <c r="G25" i="15" s="1"/>
  <c r="E20" i="15"/>
  <c r="E25" i="15" s="1"/>
  <c r="C20" i="15"/>
  <c r="AA11" i="15"/>
  <c r="D11" i="15"/>
  <c r="F11" i="15" s="1"/>
  <c r="H11" i="15" s="1"/>
  <c r="J11" i="15" s="1"/>
  <c r="L11" i="15" s="1"/>
  <c r="N11" i="15" s="1"/>
  <c r="P11" i="15" s="1"/>
  <c r="R11" i="15" s="1"/>
  <c r="T11" i="15" s="1"/>
  <c r="V11" i="15" s="1"/>
  <c r="X11" i="15" s="1"/>
  <c r="Z11" i="15" s="1"/>
  <c r="AA10" i="15"/>
  <c r="D10" i="15"/>
  <c r="D7" i="14"/>
  <c r="C7" i="14"/>
  <c r="D29" i="13"/>
  <c r="D15" i="13"/>
  <c r="E80" i="12"/>
  <c r="G78" i="12"/>
  <c r="E65" i="12"/>
  <c r="E55" i="12"/>
  <c r="G19" i="12"/>
  <c r="M19" i="11"/>
  <c r="L19" i="11"/>
  <c r="K19" i="11"/>
  <c r="J19" i="11"/>
  <c r="I19" i="11"/>
  <c r="H19" i="11"/>
  <c r="G19" i="11"/>
  <c r="F19" i="11"/>
  <c r="M11" i="11"/>
  <c r="L11" i="11"/>
  <c r="K11" i="11"/>
  <c r="J11" i="11"/>
  <c r="I11" i="11"/>
  <c r="H11" i="11"/>
  <c r="G11" i="11"/>
  <c r="F11" i="11"/>
  <c r="E11" i="11"/>
  <c r="D11" i="11"/>
  <c r="C61" i="10"/>
  <c r="C55" i="10"/>
  <c r="C34" i="10"/>
  <c r="C27" i="10"/>
  <c r="G8" i="4" s="1"/>
  <c r="I8" i="4" s="1"/>
  <c r="D9" i="3" s="1"/>
  <c r="C20" i="10"/>
  <c r="C14" i="10"/>
  <c r="C8" i="10"/>
  <c r="C113" i="7"/>
  <c r="C110" i="7"/>
  <c r="H22" i="4" s="1"/>
  <c r="I22" i="4" s="1"/>
  <c r="C106" i="7"/>
  <c r="C107" i="7" s="1"/>
  <c r="H20" i="4" s="1"/>
  <c r="I20" i="4" s="1"/>
  <c r="C103" i="7"/>
  <c r="H19" i="4" s="1"/>
  <c r="I19" i="4" s="1"/>
  <c r="C92" i="7"/>
  <c r="C94" i="7" s="1"/>
  <c r="H11" i="4" s="1"/>
  <c r="C83" i="7"/>
  <c r="H10" i="4" s="1"/>
  <c r="C55" i="7"/>
  <c r="C48" i="7"/>
  <c r="C24" i="7"/>
  <c r="C12" i="7"/>
  <c r="H7" i="4" s="1"/>
  <c r="C47" i="5"/>
  <c r="C44" i="5"/>
  <c r="C41" i="5"/>
  <c r="C35" i="5"/>
  <c r="C32" i="5"/>
  <c r="C20" i="5"/>
  <c r="C56" i="5"/>
  <c r="D24" i="3" s="1"/>
  <c r="C17" i="5"/>
  <c r="C11" i="5"/>
  <c r="C8" i="5"/>
  <c r="I7" i="2"/>
  <c r="B8" i="1" s="1"/>
  <c r="I8" i="2"/>
  <c r="B9" i="1" s="1"/>
  <c r="I9" i="2"/>
  <c r="B10" i="1" s="1"/>
  <c r="I10" i="2"/>
  <c r="B11" i="1" s="1"/>
  <c r="I12" i="2"/>
  <c r="B13" i="1" s="1"/>
  <c r="I13" i="2"/>
  <c r="B14" i="1" s="1"/>
  <c r="I14" i="2"/>
  <c r="B15" i="1" s="1"/>
  <c r="I16" i="2"/>
  <c r="B17" i="1" s="1"/>
  <c r="I17" i="2"/>
  <c r="B18" i="1" s="1"/>
  <c r="I18" i="2"/>
  <c r="B19" i="1" s="1"/>
  <c r="I20" i="2"/>
  <c r="I21" i="2"/>
  <c r="I23" i="2"/>
  <c r="I25" i="2"/>
  <c r="I27" i="2"/>
  <c r="I6" i="2"/>
  <c r="B7" i="1" s="1"/>
  <c r="I33" i="4"/>
  <c r="H33" i="4"/>
  <c r="G33" i="4"/>
  <c r="E33" i="4"/>
  <c r="D33" i="4"/>
  <c r="C33" i="4"/>
  <c r="I29" i="4"/>
  <c r="G29" i="4"/>
  <c r="E29" i="4"/>
  <c r="C29" i="4"/>
  <c r="H29" i="4"/>
  <c r="D29" i="4"/>
  <c r="D24" i="4"/>
  <c r="I24" i="4" s="1"/>
  <c r="D18" i="4"/>
  <c r="I18" i="4" s="1"/>
  <c r="E16" i="4"/>
  <c r="C16" i="4"/>
  <c r="I15" i="4"/>
  <c r="I14" i="4"/>
  <c r="D14" i="3" s="1"/>
  <c r="H13" i="4"/>
  <c r="I12" i="4"/>
  <c r="D13" i="3" s="1"/>
  <c r="E45" i="15" l="1"/>
  <c r="Y45" i="15"/>
  <c r="X23" i="15"/>
  <c r="Z23" i="15" s="1"/>
  <c r="I44" i="15"/>
  <c r="I45" i="15" s="1"/>
  <c r="M44" i="15"/>
  <c r="M45" i="15" s="1"/>
  <c r="Q44" i="15"/>
  <c r="Q45" i="15" s="1"/>
  <c r="W44" i="15"/>
  <c r="W45" i="15" s="1"/>
  <c r="AC40" i="15"/>
  <c r="F69" i="12"/>
  <c r="AA20" i="15"/>
  <c r="U45" i="15"/>
  <c r="G45" i="15"/>
  <c r="F62" i="12"/>
  <c r="G62" i="12" s="1"/>
  <c r="F57" i="12"/>
  <c r="G57" i="12" s="1"/>
  <c r="AC31" i="15"/>
  <c r="E26" i="4"/>
  <c r="C10" i="8"/>
  <c r="I25" i="4"/>
  <c r="H25" i="4"/>
  <c r="D16" i="3"/>
  <c r="F63" i="12" s="1"/>
  <c r="C26" i="4"/>
  <c r="C7" i="8"/>
  <c r="I11" i="4"/>
  <c r="D12" i="3" s="1"/>
  <c r="F20" i="11"/>
  <c r="E7" i="14"/>
  <c r="I10" i="4"/>
  <c r="D11" i="3" s="1"/>
  <c r="C8" i="8"/>
  <c r="I13" i="4"/>
  <c r="C27" i="5"/>
  <c r="D22" i="3" s="1"/>
  <c r="C49" i="5"/>
  <c r="F7" i="14"/>
  <c r="H6" i="16"/>
  <c r="G7" i="16"/>
  <c r="S45" i="15"/>
  <c r="O45" i="15"/>
  <c r="AA42" i="15"/>
  <c r="AA24" i="15"/>
  <c r="H21" i="15"/>
  <c r="J21" i="15" s="1"/>
  <c r="L21" i="15" s="1"/>
  <c r="N21" i="15" s="1"/>
  <c r="F10" i="15"/>
  <c r="D12" i="15"/>
  <c r="F12" i="15" s="1"/>
  <c r="H12" i="15" s="1"/>
  <c r="J12" i="15" s="1"/>
  <c r="L12" i="15" s="1"/>
  <c r="N12" i="15" s="1"/>
  <c r="P12" i="15" s="1"/>
  <c r="R12" i="15" s="1"/>
  <c r="T12" i="15" s="1"/>
  <c r="V12" i="15" s="1"/>
  <c r="X12" i="15" s="1"/>
  <c r="Z12" i="15" s="1"/>
  <c r="AA12" i="15"/>
  <c r="D13" i="15"/>
  <c r="F13" i="15" s="1"/>
  <c r="H13" i="15" s="1"/>
  <c r="J13" i="15" s="1"/>
  <c r="L13" i="15" s="1"/>
  <c r="N13" i="15" s="1"/>
  <c r="P13" i="15" s="1"/>
  <c r="R13" i="15" s="1"/>
  <c r="T13" i="15" s="1"/>
  <c r="V13" i="15" s="1"/>
  <c r="X13" i="15" s="1"/>
  <c r="Z13" i="15" s="1"/>
  <c r="F19" i="15"/>
  <c r="H19" i="15" s="1"/>
  <c r="J19" i="15" s="1"/>
  <c r="L19" i="15" s="1"/>
  <c r="N19" i="15" s="1"/>
  <c r="P19" i="15" s="1"/>
  <c r="R19" i="15" s="1"/>
  <c r="T19" i="15" s="1"/>
  <c r="V19" i="15" s="1"/>
  <c r="X19" i="15" s="1"/>
  <c r="Z19" i="15" s="1"/>
  <c r="AA19" i="15"/>
  <c r="AA34" i="15"/>
  <c r="D34" i="15"/>
  <c r="F34" i="15" s="1"/>
  <c r="H34" i="15" s="1"/>
  <c r="J34" i="15" s="1"/>
  <c r="L34" i="15" s="1"/>
  <c r="N34" i="15" s="1"/>
  <c r="P34" i="15" s="1"/>
  <c r="R34" i="15" s="1"/>
  <c r="T34" i="15" s="1"/>
  <c r="V34" i="15" s="1"/>
  <c r="X34" i="15" s="1"/>
  <c r="Z34" i="15" s="1"/>
  <c r="C25" i="15"/>
  <c r="H30" i="15"/>
  <c r="C37" i="15"/>
  <c r="C44" i="15" s="1"/>
  <c r="AA33" i="15"/>
  <c r="F38" i="15"/>
  <c r="H43" i="15"/>
  <c r="E71" i="12"/>
  <c r="E75" i="12" s="1"/>
  <c r="G18" i="12"/>
  <c r="G17" i="12"/>
  <c r="F80" i="12"/>
  <c r="G80" i="12" s="1"/>
  <c r="H20" i="11"/>
  <c r="J20" i="11"/>
  <c r="G20" i="11"/>
  <c r="I20" i="11"/>
  <c r="K20" i="11"/>
  <c r="M20" i="11"/>
  <c r="L20" i="11"/>
  <c r="C63" i="10"/>
  <c r="C22" i="10"/>
  <c r="G7" i="4" s="1"/>
  <c r="C57" i="7"/>
  <c r="C116" i="7"/>
  <c r="E22" i="2"/>
  <c r="C22" i="2"/>
  <c r="E19" i="2"/>
  <c r="D10" i="8" s="1"/>
  <c r="C19" i="2"/>
  <c r="D7" i="8" s="1"/>
  <c r="B98" i="1"/>
  <c r="F24" i="12" s="1"/>
  <c r="B39" i="1"/>
  <c r="B33" i="1"/>
  <c r="B28" i="1"/>
  <c r="AC18" i="15" l="1"/>
  <c r="F15" i="12"/>
  <c r="G15" i="12" s="1"/>
  <c r="AC12" i="15"/>
  <c r="F14" i="12"/>
  <c r="G14" i="12" s="1"/>
  <c r="C49" i="15"/>
  <c r="E49" i="15" s="1"/>
  <c r="G49" i="15" s="1"/>
  <c r="I49" i="15" s="1"/>
  <c r="K49" i="15" s="1"/>
  <c r="M49" i="15" s="1"/>
  <c r="O49" i="15" s="1"/>
  <c r="Q49" i="15" s="1"/>
  <c r="S49" i="15" s="1"/>
  <c r="U49" i="15" s="1"/>
  <c r="W49" i="15" s="1"/>
  <c r="Y49" i="15" s="1"/>
  <c r="AC43" i="15"/>
  <c r="AC38" i="15"/>
  <c r="F66" i="12"/>
  <c r="D25" i="3"/>
  <c r="AC42" i="15" s="1"/>
  <c r="F13" i="12"/>
  <c r="F12" i="12" s="1"/>
  <c r="G12" i="12" s="1"/>
  <c r="AC11" i="15"/>
  <c r="F37" i="15"/>
  <c r="F60" i="12"/>
  <c r="G60" i="12" s="1"/>
  <c r="AC34" i="15"/>
  <c r="F59" i="12"/>
  <c r="G59" i="12" s="1"/>
  <c r="AC33" i="15"/>
  <c r="E8" i="8"/>
  <c r="G13" i="12"/>
  <c r="E26" i="2"/>
  <c r="E28" i="2" s="1"/>
  <c r="E30" i="2" s="1"/>
  <c r="E10" i="8"/>
  <c r="H10" i="8" s="1"/>
  <c r="C135" i="7" s="1"/>
  <c r="C26" i="2"/>
  <c r="C75" i="10"/>
  <c r="G9" i="4"/>
  <c r="G16" i="4" s="1"/>
  <c r="I7" i="4"/>
  <c r="D8" i="3" s="1"/>
  <c r="F8" i="3" s="1"/>
  <c r="C96" i="7"/>
  <c r="C125" i="7" s="1"/>
  <c r="C129" i="7" s="1"/>
  <c r="H9" i="4"/>
  <c r="C27" i="11"/>
  <c r="E14" i="11" s="1"/>
  <c r="E19" i="11" s="1"/>
  <c r="E20" i="11" s="1"/>
  <c r="B41" i="1"/>
  <c r="G24" i="2" s="1"/>
  <c r="I24" i="2" s="1"/>
  <c r="I22" i="2"/>
  <c r="H7" i="16"/>
  <c r="I6" i="16"/>
  <c r="I7" i="16" s="1"/>
  <c r="J24" i="15"/>
  <c r="L24" i="15"/>
  <c r="H24" i="15"/>
  <c r="J43" i="15"/>
  <c r="AA37" i="15"/>
  <c r="D20" i="15"/>
  <c r="D25" i="15" s="1"/>
  <c r="F42" i="15"/>
  <c r="H38" i="15"/>
  <c r="D37" i="15"/>
  <c r="D44" i="15" s="1"/>
  <c r="H37" i="15"/>
  <c r="J30" i="15"/>
  <c r="H10" i="15"/>
  <c r="F20" i="15"/>
  <c r="F25" i="15" s="1"/>
  <c r="N24" i="15"/>
  <c r="P21" i="15"/>
  <c r="G7" i="14"/>
  <c r="C59" i="5"/>
  <c r="H30" i="2"/>
  <c r="F44" i="15" l="1"/>
  <c r="F45" i="15" s="1"/>
  <c r="F10" i="8"/>
  <c r="F8" i="8"/>
  <c r="G66" i="12"/>
  <c r="F65" i="12"/>
  <c r="G65" i="12" s="1"/>
  <c r="F56" i="12"/>
  <c r="G56" i="12" s="1"/>
  <c r="AC30" i="15"/>
  <c r="E7" i="8"/>
  <c r="H7" i="8" s="1"/>
  <c r="C133" i="7" s="1"/>
  <c r="C11" i="8"/>
  <c r="G26" i="4"/>
  <c r="I9" i="4"/>
  <c r="H16" i="4"/>
  <c r="H26" i="4" s="1"/>
  <c r="C13" i="8" s="1"/>
  <c r="C28" i="2"/>
  <c r="C30" i="2" s="1"/>
  <c r="AA45" i="15"/>
  <c r="C45" i="15"/>
  <c r="R21" i="15"/>
  <c r="P24" i="15"/>
  <c r="J37" i="15"/>
  <c r="L30" i="15"/>
  <c r="L43" i="15"/>
  <c r="H20" i="15"/>
  <c r="H25" i="15" s="1"/>
  <c r="J10" i="15"/>
  <c r="H42" i="15"/>
  <c r="H44" i="15" s="1"/>
  <c r="J38" i="15"/>
  <c r="D45" i="15"/>
  <c r="H7" i="14"/>
  <c r="F7" i="8" l="1"/>
  <c r="E13" i="8"/>
  <c r="AA49" i="15"/>
  <c r="C12" i="8"/>
  <c r="C14" i="8" s="1"/>
  <c r="I26" i="4"/>
  <c r="D10" i="3"/>
  <c r="AC32" i="15" s="1"/>
  <c r="I16" i="4"/>
  <c r="H45" i="15"/>
  <c r="T21" i="15"/>
  <c r="R24" i="15"/>
  <c r="J42" i="15"/>
  <c r="J44" i="15" s="1"/>
  <c r="L10" i="15"/>
  <c r="J20" i="15"/>
  <c r="J25" i="15" s="1"/>
  <c r="N43" i="15"/>
  <c r="L37" i="15"/>
  <c r="N30" i="15"/>
  <c r="I7" i="14"/>
  <c r="F13" i="8" l="1"/>
  <c r="F58" i="12"/>
  <c r="D18" i="3"/>
  <c r="L20" i="15"/>
  <c r="L25" i="15" s="1"/>
  <c r="N10" i="15"/>
  <c r="V21" i="15"/>
  <c r="T24" i="15"/>
  <c r="N37" i="15"/>
  <c r="P30" i="15"/>
  <c r="P43" i="15"/>
  <c r="J45" i="15"/>
  <c r="L42" i="15"/>
  <c r="L44" i="15" s="1"/>
  <c r="N38" i="15"/>
  <c r="D27" i="3" l="1"/>
  <c r="AC44" i="15" s="1"/>
  <c r="AC37" i="15"/>
  <c r="G58" i="12"/>
  <c r="F55" i="12"/>
  <c r="V24" i="15"/>
  <c r="X21" i="15"/>
  <c r="L45" i="15"/>
  <c r="N42" i="15"/>
  <c r="N44" i="15" s="1"/>
  <c r="P38" i="15"/>
  <c r="R43" i="15"/>
  <c r="P37" i="15"/>
  <c r="R30" i="15"/>
  <c r="P10" i="15"/>
  <c r="N20" i="15"/>
  <c r="N25" i="15" s="1"/>
  <c r="N45" i="15" l="1"/>
  <c r="D34" i="3"/>
  <c r="F34" i="3" s="1"/>
  <c r="F71" i="12"/>
  <c r="G55" i="12"/>
  <c r="P20" i="15"/>
  <c r="P25" i="15" s="1"/>
  <c r="R10" i="15"/>
  <c r="Z21" i="15"/>
  <c r="X24" i="15"/>
  <c r="R37" i="15"/>
  <c r="T30" i="15"/>
  <c r="T43" i="15"/>
  <c r="P42" i="15"/>
  <c r="P44" i="15" s="1"/>
  <c r="R38" i="15"/>
  <c r="Z24" i="15" l="1"/>
  <c r="G71" i="12"/>
  <c r="F75" i="12"/>
  <c r="G75" i="12" s="1"/>
  <c r="P45" i="15"/>
  <c r="R42" i="15"/>
  <c r="R44" i="15" s="1"/>
  <c r="T38" i="15"/>
  <c r="V43" i="15"/>
  <c r="T37" i="15"/>
  <c r="V30" i="15"/>
  <c r="T10" i="15"/>
  <c r="R20" i="15"/>
  <c r="R25" i="15" s="1"/>
  <c r="R45" i="15" l="1"/>
  <c r="T20" i="15"/>
  <c r="T25" i="15" s="1"/>
  <c r="V10" i="15"/>
  <c r="V37" i="15"/>
  <c r="X30" i="15"/>
  <c r="X43" i="15"/>
  <c r="T42" i="15"/>
  <c r="T44" i="15" s="1"/>
  <c r="V38" i="15"/>
  <c r="T45" i="15" l="1"/>
  <c r="V42" i="15"/>
  <c r="V44" i="15" s="1"/>
  <c r="X38" i="15"/>
  <c r="X37" i="15"/>
  <c r="Z30" i="15"/>
  <c r="Z37" i="15" s="1"/>
  <c r="X10" i="15"/>
  <c r="V20" i="15"/>
  <c r="V25" i="15" s="1"/>
  <c r="V45" i="15" l="1"/>
  <c r="X20" i="15"/>
  <c r="X25" i="15" s="1"/>
  <c r="Z10" i="15"/>
  <c r="Z20" i="15" s="1"/>
  <c r="Z25" i="15" s="1"/>
  <c r="X42" i="15"/>
  <c r="X44" i="15" s="1"/>
  <c r="Z38" i="15"/>
  <c r="Z42" i="15" s="1"/>
  <c r="Z44" i="15" s="1"/>
  <c r="Z45" i="15" l="1"/>
  <c r="X45" i="15"/>
  <c r="B85" i="1"/>
  <c r="G72" i="10" l="1"/>
  <c r="B113" i="1"/>
  <c r="F26" i="12" s="1"/>
  <c r="G26" i="12" s="1"/>
  <c r="G15" i="2" l="1"/>
  <c r="I15" i="2" s="1"/>
  <c r="B16" i="1" s="1"/>
  <c r="C72" i="22" l="1"/>
  <c r="D28" i="8" s="1"/>
  <c r="G19" i="2" l="1"/>
  <c r="D11" i="8" s="1"/>
  <c r="I11" i="2"/>
  <c r="B12" i="1" s="1"/>
  <c r="B20" i="1" s="1"/>
  <c r="AC10" i="15" l="1"/>
  <c r="AC25" i="15" s="1"/>
  <c r="B42" i="1"/>
  <c r="B118" i="1" s="1"/>
  <c r="B125" i="1" s="1"/>
  <c r="F11" i="12"/>
  <c r="G26" i="2"/>
  <c r="G28" i="2" s="1"/>
  <c r="I19" i="2"/>
  <c r="I26" i="2" s="1"/>
  <c r="AC20" i="15" l="1"/>
  <c r="I28" i="2"/>
  <c r="G30" i="2"/>
  <c r="E11" i="8"/>
  <c r="H11" i="8" s="1"/>
  <c r="C137" i="7" s="1"/>
  <c r="D12" i="8"/>
  <c r="D14" i="8" s="1"/>
  <c r="B126" i="1"/>
  <c r="B129" i="1"/>
  <c r="B135" i="1" s="1"/>
  <c r="D135" i="1" s="1"/>
  <c r="F10" i="12"/>
  <c r="G11" i="12"/>
  <c r="F11" i="8" l="1"/>
  <c r="F30" i="12"/>
  <c r="F38" i="12" s="1"/>
  <c r="G10" i="12"/>
  <c r="E12" i="8"/>
  <c r="E14" i="8" s="1"/>
  <c r="F12" i="8" l="1"/>
  <c r="F14" i="8" s="1"/>
  <c r="G38" i="12"/>
  <c r="G30" i="12"/>
  <c r="G12" i="8"/>
  <c r="G14" i="8" s="1"/>
  <c r="D29" i="2"/>
  <c r="D30" i="2" s="1"/>
  <c r="I30" i="2" s="1"/>
  <c r="I31" i="2" s="1"/>
  <c r="H8" i="8"/>
  <c r="C134" i="7" s="1"/>
  <c r="C138" i="7" s="1"/>
  <c r="I29" i="2" l="1"/>
  <c r="H12" i="8"/>
  <c r="I127" i="7"/>
</calcChain>
</file>

<file path=xl/sharedStrings.xml><?xml version="1.0" encoding="utf-8"?>
<sst xmlns="http://schemas.openxmlformats.org/spreadsheetml/2006/main" count="1638" uniqueCount="785">
  <si>
    <t>Bevételi jogcímek megnevezése</t>
  </si>
  <si>
    <t>I. Működési bevételek</t>
  </si>
  <si>
    <t>1. Intézményi működési bevételek</t>
  </si>
  <si>
    <t>Intézményi működési bevételek összesen:</t>
  </si>
  <si>
    <t>2. Önkormányzat sajátos működési bevételei</t>
  </si>
  <si>
    <t>2.2. Helyi adók</t>
  </si>
  <si>
    <t>Helyi adók összesen:</t>
  </si>
  <si>
    <t>2.3. Átengedett központi adók</t>
  </si>
  <si>
    <t xml:space="preserve">2.3.1. Gépjárműadó </t>
  </si>
  <si>
    <t>2.3.2. Termőföld bérbeadásából származó jövedelemadó 100 %-a</t>
  </si>
  <si>
    <t>Átengedett központi adók összesen:</t>
  </si>
  <si>
    <t>2.4. Bírságok, pótlékok és egyéb sajátos bevételek</t>
  </si>
  <si>
    <t>2.4.1. Környezetvédelmi bírság</t>
  </si>
  <si>
    <t xml:space="preserve">2.4.2. Pótlék, bírság                                                                              </t>
  </si>
  <si>
    <t>Bírságok, pótlékok és egyéb sajátos bevételek összesen:</t>
  </si>
  <si>
    <t>2. Önkormányzat sajátos működési bevételei összesen (2.2.+2.3.+2.4.):</t>
  </si>
  <si>
    <t>I. Működési bevételek összesen (1.+2.):</t>
  </si>
  <si>
    <t>II. Támogatások</t>
  </si>
  <si>
    <t>Ezer forintban:</t>
  </si>
  <si>
    <t>III. Felhalmozási és tőke jellegű bevételek</t>
  </si>
  <si>
    <t>1. Földterület, lakótelek, garázstelek értékesítés, üzlettelkek</t>
  </si>
  <si>
    <t>2. Épületingatlanok értékesítése</t>
  </si>
  <si>
    <t>Felhalmozási és tőke jellegű bevételek összesen:</t>
  </si>
  <si>
    <t>IV. Támogatás értékű bevételek</t>
  </si>
  <si>
    <t>1. Támogatási értékű működési célra átvett pénzeszközök</t>
  </si>
  <si>
    <t>- Eü. pénztártól egészségügy finanszírozásra</t>
  </si>
  <si>
    <t>- Közfoglalkoztatás megtérítése, elkülönített állami pénzalapból</t>
  </si>
  <si>
    <t>Támogatási értékű működési célra átvett pénzeszközök összesen:</t>
  </si>
  <si>
    <t>2. Támogatási értékű felhalmozási célra átvett pénzeszközök</t>
  </si>
  <si>
    <t>Támogatási értékű felhalmozási célra átvett pénzeszközök összesen:</t>
  </si>
  <si>
    <t>IV. Támogatás értékű bevételek összesen (1.+2.):</t>
  </si>
  <si>
    <t>V. Megtérülések</t>
  </si>
  <si>
    <t>- Felhalmozás célú támog. kölcsön visszatérülése</t>
  </si>
  <si>
    <t>VI. Folyó évi bevételek összesen (I+II+III+IV+V)</t>
  </si>
  <si>
    <t>VII. Pénzforgalom nélküli bevételek</t>
  </si>
  <si>
    <t>VIII. Bevételek összesen (VI+VII):</t>
  </si>
  <si>
    <t>Önokrmányzati és Intézményei Bevételek összesen:</t>
  </si>
  <si>
    <t>Ezer forintban!</t>
  </si>
  <si>
    <t xml:space="preserve">2.1.1. Helyi iparűzési adó                                                                              </t>
  </si>
  <si>
    <t xml:space="preserve">2.1.2. Idegenforgalmi adó                                                                              </t>
  </si>
  <si>
    <t xml:space="preserve">2.1.3. Kommunális adó                                                              </t>
  </si>
  <si>
    <t xml:space="preserve">2.4.3. Egyéb sajátos bevétel                                                                    </t>
  </si>
  <si>
    <t xml:space="preserve">3. Felhalmozási célú átvett pénzeszközök vállalkozásoktól    </t>
  </si>
  <si>
    <t>Bevételek összesen:</t>
  </si>
  <si>
    <t>Bevételi jogcím</t>
  </si>
  <si>
    <t>Önkormányzat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</si>
  <si>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</si>
  <si>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</si>
  <si>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</si>
  <si>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</si>
  <si>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</si>
  <si>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</si>
  <si>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</si>
  <si>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</si>
  <si>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</si>
  <si>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</si>
  <si>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</si>
  <si>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</si>
  <si>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</si>
  <si>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</si>
  <si>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</si>
  <si>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</si>
  <si>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Közhatalmi bevételek</t>
  </si>
  <si>
    <t>Áru- és készletértékesítés</t>
  </si>
  <si>
    <t xml:space="preserve">Szolgáltatások ellenértéke </t>
  </si>
  <si>
    <t>Egyéb sajátos bevétel</t>
  </si>
  <si>
    <t>Továbbszámlázott szolgáltatások értéke</t>
  </si>
  <si>
    <t>Bérleti és lízingdíj bevételek</t>
  </si>
  <si>
    <t>Intézményi ellátási díjak</t>
  </si>
  <si>
    <t>Alkalmazottak térítése</t>
  </si>
  <si>
    <t>Kötbér, egyéb kártérítés, bánatpénz bevételek</t>
  </si>
  <si>
    <t>Kiszámlázott termékek és szolgáltatások Áfája</t>
  </si>
  <si>
    <t>Értékesített tárgyi eszközök Áfája</t>
  </si>
  <si>
    <t>Kamatbevétel</t>
  </si>
  <si>
    <t>Működési célú pénzeszköz átvétel államháztartáson kívülről</t>
  </si>
  <si>
    <t>I.</t>
  </si>
  <si>
    <t>Intézményi működési bevételek összesen</t>
  </si>
  <si>
    <t>a.</t>
  </si>
  <si>
    <t>Támogatásértékű működési bevétel</t>
  </si>
  <si>
    <t>b.</t>
  </si>
  <si>
    <t>Támogatásértékű felhalmozású bevétel</t>
  </si>
  <si>
    <t>II.</t>
  </si>
  <si>
    <t>Támogatásértékű bevétel összesen</t>
  </si>
  <si>
    <t>III.</t>
  </si>
  <si>
    <t>Felhalmozási és tőkejellegű bevételek</t>
  </si>
  <si>
    <t>IV.</t>
  </si>
  <si>
    <t xml:space="preserve">Sajátos működési bevételek </t>
  </si>
  <si>
    <t>V.</t>
  </si>
  <si>
    <t>Megtérülések</t>
  </si>
  <si>
    <t>Saját bevételek összesen</t>
  </si>
  <si>
    <t>VI.</t>
  </si>
  <si>
    <t>Pénforgalom nélküli bevételek</t>
  </si>
  <si>
    <t>Saját bevételek mindösszesen</t>
  </si>
  <si>
    <t>VII.</t>
  </si>
  <si>
    <t>Állami támogatás</t>
  </si>
  <si>
    <t>VIII.</t>
  </si>
  <si>
    <t>Tápiógyörgye Község Önkormányzata</t>
  </si>
  <si>
    <t>Feladatok megnevezése</t>
  </si>
  <si>
    <t>I. Működési, fenntartási kiadások</t>
  </si>
  <si>
    <t xml:space="preserve">Ebből: </t>
  </si>
  <si>
    <t xml:space="preserve">  - személyi juttatás</t>
  </si>
  <si>
    <t xml:space="preserve">  - munkáltatót terhelő járulék</t>
  </si>
  <si>
    <t xml:space="preserve">  - dologi kiadások</t>
  </si>
  <si>
    <t xml:space="preserve">  - pénzeszköz átadás, támog. értékű kiadás</t>
  </si>
  <si>
    <t xml:space="preserve">  - társadalom-szociálpolitikai juttatás</t>
  </si>
  <si>
    <t xml:space="preserve">  - ellátottak pénzbeni juttatásai</t>
  </si>
  <si>
    <t xml:space="preserve">  - általános tartalék</t>
  </si>
  <si>
    <t xml:space="preserve">  - céltartalék (felhalmozási)</t>
  </si>
  <si>
    <t xml:space="preserve">  - céltartalék (működési)</t>
  </si>
  <si>
    <t>I. Működési, fenntartási kiadások összesen:</t>
  </si>
  <si>
    <t>II. Felhalmozási kiadások</t>
  </si>
  <si>
    <t xml:space="preserve">  - beruházás</t>
  </si>
  <si>
    <t xml:space="preserve">  - felújítás</t>
  </si>
  <si>
    <t xml:space="preserve">  - felhalmozási célú pénzeszköz átadás, kölcsön</t>
  </si>
  <si>
    <t>II. Felhalmozási kiadások összesen:</t>
  </si>
  <si>
    <t>I-II. Kiadások összesen:</t>
  </si>
  <si>
    <t>III. Kiegyenlítő, függő és átfutó kiadások</t>
  </si>
  <si>
    <t>IV. Hitelműveletek kiadásai</t>
  </si>
  <si>
    <t>Kiadások mindösszesen:</t>
  </si>
  <si>
    <t>Előirányzat</t>
  </si>
  <si>
    <t xml:space="preserve">  - munkáltatót terh. járulék</t>
  </si>
  <si>
    <t xml:space="preserve">  - dologi kiadás</t>
  </si>
  <si>
    <t xml:space="preserve">  - pénzeszköz átadás</t>
  </si>
  <si>
    <t xml:space="preserve">  - ellátottak pénzbeni jutt.</t>
  </si>
  <si>
    <t xml:space="preserve">  - hiteltörlesztés</t>
  </si>
  <si>
    <t xml:space="preserve">  - céltartalék</t>
  </si>
  <si>
    <t>Működési és fennt. kiad. összesen:</t>
  </si>
  <si>
    <t>17.</t>
  </si>
  <si>
    <t xml:space="preserve">  - egyéb kiadás</t>
  </si>
  <si>
    <t>18.</t>
  </si>
  <si>
    <t>19.</t>
  </si>
  <si>
    <t xml:space="preserve">  - részesedés vásárlás</t>
  </si>
  <si>
    <t>20.</t>
  </si>
  <si>
    <t xml:space="preserve">  - fejlesztési céltartalék</t>
  </si>
  <si>
    <t>21.</t>
  </si>
  <si>
    <t>Felhalmozási kiadás összesen:</t>
  </si>
  <si>
    <t>22.</t>
  </si>
  <si>
    <t>Kiadások összesen:</t>
  </si>
  <si>
    <t>23.</t>
  </si>
  <si>
    <t>III. Tervezett létszám</t>
  </si>
  <si>
    <t>24.</t>
  </si>
  <si>
    <t>25.</t>
  </si>
  <si>
    <t>26.</t>
  </si>
  <si>
    <t>27.</t>
  </si>
  <si>
    <t>28.</t>
  </si>
  <si>
    <t>29.</t>
  </si>
  <si>
    <t>30.</t>
  </si>
  <si>
    <t xml:space="preserve">      Össz létszám:</t>
  </si>
  <si>
    <t>IV. Előző évi kiadások összesen terv.</t>
  </si>
  <si>
    <t xml:space="preserve">     Előző évi tervezett létszám</t>
  </si>
  <si>
    <t xml:space="preserve">     Előző évi tervezett közfoglalkozt.:</t>
  </si>
  <si>
    <t xml:space="preserve">  - társadalmi és szociálpolitikai juttatás</t>
  </si>
  <si>
    <r>
      <t xml:space="preserve">             </t>
    </r>
    <r>
      <rPr>
        <u/>
        <sz val="12"/>
        <rFont val="Garamond"/>
        <family val="1"/>
        <charset val="238"/>
      </rPr>
      <t>Ezer forintban!</t>
    </r>
  </si>
  <si>
    <t>I.   BERUHÁZÁSOK</t>
  </si>
  <si>
    <t>-</t>
  </si>
  <si>
    <t>Önkormányzat  beruházásai</t>
  </si>
  <si>
    <t>Önkormányzat beruházásai összesen:</t>
  </si>
  <si>
    <t>I. Beruházások mindösszesen:</t>
  </si>
  <si>
    <t>II.  FELÚJÍTÁSOK</t>
  </si>
  <si>
    <t>Önkormányzat felújításai összesen:</t>
  </si>
  <si>
    <t>II. Felújítások mindösszesen:</t>
  </si>
  <si>
    <t>III.  EGYÉB FELHALMOZÁSI KIADÁSOK</t>
  </si>
  <si>
    <t>Lakás építésére, vásárlására nyújtott vissza nem térítendő támogatás</t>
  </si>
  <si>
    <t>Lakás építésére, vásárlására nyújtott kölcsön</t>
  </si>
  <si>
    <t>Munkáltatói támogatás</t>
  </si>
  <si>
    <t>Egyéb felhalmozási kiadások összesen:</t>
  </si>
  <si>
    <t>Felhalmozási kiadások összesen:</t>
  </si>
  <si>
    <t>…………….</t>
  </si>
  <si>
    <t>……………</t>
  </si>
  <si>
    <t>…………………..</t>
  </si>
  <si>
    <t>………………….</t>
  </si>
  <si>
    <t>Gondozási központ</t>
  </si>
  <si>
    <t>Gondozási központ beruházásai össz.:</t>
  </si>
  <si>
    <t>…………………</t>
  </si>
  <si>
    <t>……………………..</t>
  </si>
  <si>
    <t>Gondozási központ felújításai össz.:</t>
  </si>
  <si>
    <t>Ssz.</t>
  </si>
  <si>
    <t>Intézmények megnevezése</t>
  </si>
  <si>
    <t>Megítélt támogatás</t>
  </si>
  <si>
    <t>Önerő</t>
  </si>
  <si>
    <t>Összes bekerülési érték</t>
  </si>
  <si>
    <t>Önkormányzat</t>
  </si>
  <si>
    <t>Önkormányzat összesen:</t>
  </si>
  <si>
    <t>I. Rendszeres személyi juttatások</t>
  </si>
  <si>
    <t>Rendszeres személyi juttatások összesen:</t>
  </si>
  <si>
    <t>II. Nem rendszeres személyi juttatások</t>
  </si>
  <si>
    <t xml:space="preserve">III. Külső személyi juttatások </t>
  </si>
  <si>
    <t>Személyi juttatások összesen:</t>
  </si>
  <si>
    <t>IV. Munkaadókat terhelő járulékok</t>
  </si>
  <si>
    <t>Munkaadókat terhelő járulékok összesen:</t>
  </si>
  <si>
    <t>V. Dologi kiadások</t>
  </si>
  <si>
    <t>Irodaszer, nyomtatvány</t>
  </si>
  <si>
    <t>Könyv, folyóirat</t>
  </si>
  <si>
    <t>Szakm.anyag és kis ért. Tárgyi eszköz., szellemi termék beszerzés</t>
  </si>
  <si>
    <t>Munkaruha, védőruha, közterületi felügyelői ruházat</t>
  </si>
  <si>
    <t>Készletbeszerzés összesen:</t>
  </si>
  <si>
    <t xml:space="preserve">Telefon, telefax díjak </t>
  </si>
  <si>
    <t>Adatátviteli célú távközlési díjak (Internet szolgáltatás)</t>
  </si>
  <si>
    <t>Egyéb kommunikációs szolgáltatás (program felügyelet)</t>
  </si>
  <si>
    <t xml:space="preserve">Gázenergia szolgáltatás </t>
  </si>
  <si>
    <t>Villamosenergia szolgáltatás</t>
  </si>
  <si>
    <t>Víz- és csatornadíj</t>
  </si>
  <si>
    <t>Pénzügyi szolgáltatás (postai közreműk.díj, bank költség)</t>
  </si>
  <si>
    <t xml:space="preserve">Egyéb üzemeltetési szolg. </t>
  </si>
  <si>
    <t>Vásárolt közszolgáltatások (szociális étkeztetés, házi segítségnyújtás)</t>
  </si>
  <si>
    <t>Tovább számlázott szolgáltatásb /étkezési jegy,  telefon, stb./</t>
  </si>
  <si>
    <t>Szolgáltatások összesen:</t>
  </si>
  <si>
    <t xml:space="preserve">Vásárolt termékek és szolgáltatások ÁFA-ja </t>
  </si>
  <si>
    <t>Értékesített tárgyi eszközök ÁFA-ja</t>
  </si>
  <si>
    <t>Belföldi kiküldetés</t>
  </si>
  <si>
    <t>Egyéb dologi kiadások</t>
  </si>
  <si>
    <t>Különféle dologi kiaddások összesen:</t>
  </si>
  <si>
    <t>Különféle költségv. befiz. (kifizetői adó)</t>
  </si>
  <si>
    <t>Kamat kiadások</t>
  </si>
  <si>
    <t>Tagdíjak, pályázati díj, vagyonbiztosítás</t>
  </si>
  <si>
    <t>Rehabilitációs hozzájárulás</t>
  </si>
  <si>
    <t>Egyéb folyó kiadások összesen:</t>
  </si>
  <si>
    <t>Dologi kiadások összesen:</t>
  </si>
  <si>
    <t>VI. Pénzeszköz átadás</t>
  </si>
  <si>
    <t>Sport támogatás összesen:</t>
  </si>
  <si>
    <t>Egyéb támogatások összesen:</t>
  </si>
  <si>
    <t>Pénzeszköz átadás összesen:</t>
  </si>
  <si>
    <t>VII. Társadalmi és szociálpolitikai juttatások</t>
  </si>
  <si>
    <t xml:space="preserve">  A, Önkormányzat által folyósított ellátások</t>
  </si>
  <si>
    <t>Átmeneti segély</t>
  </si>
  <si>
    <t>Temetési segély</t>
  </si>
  <si>
    <t xml:space="preserve">  A, Önkormányzat által folyósított ellátások összesen:</t>
  </si>
  <si>
    <t xml:space="preserve">  B, Egyéb pénzbeli támogatások:</t>
  </si>
  <si>
    <t>VII. Társadalmi és szociálpolitikai juttatások összesen:</t>
  </si>
  <si>
    <t xml:space="preserve">Működési kiadások összesen (I.+II.+III.+IV.+V.+VI.+VII.): </t>
  </si>
  <si>
    <t>VIII. Felhalmozási kiadások</t>
  </si>
  <si>
    <t>A/ Beruházások</t>
  </si>
  <si>
    <t>Beruházási ÁFA</t>
  </si>
  <si>
    <t xml:space="preserve"> Beruházások összesen:</t>
  </si>
  <si>
    <t>B/ Felújítások</t>
  </si>
  <si>
    <t>Felújítási ÁFA</t>
  </si>
  <si>
    <t xml:space="preserve"> Felújítások összesen:</t>
  </si>
  <si>
    <t>C/ Fejlesztési pénzeszköz átadása</t>
  </si>
  <si>
    <t>Fejlesztési pénzeszköz átadása összesen:</t>
  </si>
  <si>
    <t>D/ Felhalmozási célú támogatási kölcsönök</t>
  </si>
  <si>
    <t>Felhalmozási célú támogatási kölcsönök összesen:</t>
  </si>
  <si>
    <t>E/ Egyéb felhalmozási kiadások</t>
  </si>
  <si>
    <t>VIII. Felhalmozási kiadások összesen (A+B+C+D+E):</t>
  </si>
  <si>
    <t>IX. Tartalék</t>
  </si>
  <si>
    <t>1. Működési célú általános tartalék</t>
  </si>
  <si>
    <t>Tartalék összesen:</t>
  </si>
  <si>
    <t xml:space="preserve">Önkormányzat kiadásai összesen:  </t>
  </si>
  <si>
    <t>X.  Finanszírozási kiadások</t>
  </si>
  <si>
    <t>Kiadások mindösszesen</t>
  </si>
  <si>
    <t>XI.  Intézmény finanszírozás</t>
  </si>
  <si>
    <t xml:space="preserve">Önállóan működő és gazdálkodó, valamint önállóan működő intézmények </t>
  </si>
  <si>
    <t>Polgármesteri Hivatal</t>
  </si>
  <si>
    <t>Összesen</t>
  </si>
  <si>
    <t>………………..</t>
  </si>
  <si>
    <t>………………………..</t>
  </si>
  <si>
    <t>Önkéntes tűzoltóság támogatása</t>
  </si>
  <si>
    <t>Tápiómenti Települések Csatornamű Vízgazdálkodási-társulása önrész biztosítása</t>
  </si>
  <si>
    <t>Intézmény, szervezet megnevezése</t>
  </si>
  <si>
    <t>Intézményi összesen (1-6):</t>
  </si>
  <si>
    <t>Önkörmányzat összesen:</t>
  </si>
  <si>
    <t xml:space="preserve">Közlekedési költségtérítés </t>
  </si>
  <si>
    <t xml:space="preserve">Étkezési hozzájárulás </t>
  </si>
  <si>
    <t>Túlóra (Mt.)</t>
  </si>
  <si>
    <t>Cafetéria-juttatás</t>
  </si>
  <si>
    <t>Részmunkaidőben fogl. Cafetéria-juttatása</t>
  </si>
  <si>
    <t>Nem rendszeres személyi juttatások összesen:</t>
  </si>
  <si>
    <t>Önkormányzati képviselők juttatásai , tisztelet díj</t>
  </si>
  <si>
    <t>Önkorm. Által adományozható elismerések pénzjutalma</t>
  </si>
  <si>
    <t>Állományba nem tartozók megbízási díja</t>
  </si>
  <si>
    <t>Külső személyi juttatások összesen:</t>
  </si>
  <si>
    <t xml:space="preserve">Szociális hozzájárulási adó (27 %) </t>
  </si>
  <si>
    <t>Egészségügyi hozzájárulás  ( %-os)</t>
  </si>
  <si>
    <t>Karbantartási, kisjavítási szolgáltatások kiadása</t>
  </si>
  <si>
    <t xml:space="preserve">Működési kiadások összesen (I.+II.+III.+IV.+V.): </t>
  </si>
  <si>
    <t>Helyi önkormányzat kiadási előirányzatai</t>
  </si>
  <si>
    <t>Sor-szám</t>
  </si>
  <si>
    <t>Megnevezés</t>
  </si>
  <si>
    <t>2013.</t>
  </si>
  <si>
    <t>2014.</t>
  </si>
  <si>
    <t>2021.</t>
  </si>
  <si>
    <t>A</t>
  </si>
  <si>
    <t>B</t>
  </si>
  <si>
    <t>Adósságot keletkeztető ügyletekből eredő kötelezettségek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</si>
  <si>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</si>
  <si>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</si>
  <si>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</si>
  <si>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</si>
  <si>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</si>
  <si>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</si>
  <si>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</si>
  <si>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Saját bevételek összesen:</t>
  </si>
  <si>
    <t>Kötelezettségek aránya:</t>
  </si>
  <si>
    <t>2015.</t>
  </si>
  <si>
    <t>2016.</t>
  </si>
  <si>
    <t>2017.</t>
  </si>
  <si>
    <t>2018.</t>
  </si>
  <si>
    <t>2019.</t>
  </si>
  <si>
    <t>2020.</t>
  </si>
  <si>
    <t>Tápiógyörgye Község Önkormányzat adósságot keletkeztető ügyletekből és kezességvállalásokból fennálló kötelezettségeinek és a 353/2011. (XII.30.) korm. Rendeletben meghatározott saját bevételeinek alakulása</t>
  </si>
  <si>
    <t>2012. december 31-i állomány</t>
  </si>
  <si>
    <t>BEVÉTELEK</t>
  </si>
  <si>
    <t xml:space="preserve">     Ezer forintban!</t>
  </si>
  <si>
    <t>%</t>
  </si>
  <si>
    <t>Működési bevételek</t>
  </si>
  <si>
    <t>Intézményi működési bevételek</t>
  </si>
  <si>
    <t>Önkormányzat sajátos működési bevétele</t>
  </si>
  <si>
    <t>2.2</t>
  </si>
  <si>
    <t>2.3</t>
  </si>
  <si>
    <t>Átengedett központi adók</t>
  </si>
  <si>
    <t>2.4</t>
  </si>
  <si>
    <t>Bírságok, pótlékok és egyéb sajátos bevételek</t>
  </si>
  <si>
    <t>Támogatások</t>
  </si>
  <si>
    <t>Önkormányzatok költségvetési támogatása</t>
  </si>
  <si>
    <t>1.1</t>
  </si>
  <si>
    <t>Normatív állami támogatás</t>
  </si>
  <si>
    <t>1.5</t>
  </si>
  <si>
    <t>1.8</t>
  </si>
  <si>
    <t>Normatív kötött felhasználású állami támogatás</t>
  </si>
  <si>
    <t>2. Helyi Önkormanyzati fejlesztés és vismaoir támogatás</t>
  </si>
  <si>
    <t>Felhalmozási és tőke jellegű bevételek</t>
  </si>
  <si>
    <t>Támogatásértékű bevételek</t>
  </si>
  <si>
    <t>Megtérülések, felhalmozási célú támogatási kölcsönök visszatérülése</t>
  </si>
  <si>
    <t>Folyó évi bevételek összesen</t>
  </si>
  <si>
    <t>Pénzforgalom néküli bevételek</t>
  </si>
  <si>
    <t>Előző évi pénzmaradvány felhasználás (működési)</t>
  </si>
  <si>
    <t>Finanszírozási műveletek:</t>
  </si>
  <si>
    <t>IX.</t>
  </si>
  <si>
    <t>KIADÁSOK</t>
  </si>
  <si>
    <t>Működési, fenntartási kiadások</t>
  </si>
  <si>
    <t>Személyi juttatás</t>
  </si>
  <si>
    <t>Járulékok</t>
  </si>
  <si>
    <t>Dologi kiadások</t>
  </si>
  <si>
    <t>Pénzeszköz átadás</t>
  </si>
  <si>
    <t>Társadalmi és szociálpolitikai juttatás</t>
  </si>
  <si>
    <t>Ellátottak pénzbeni juttatásai</t>
  </si>
  <si>
    <t>Általános tartalék</t>
  </si>
  <si>
    <t>Céltartalék</t>
  </si>
  <si>
    <t>Felhalmozási és tőke jellegű kiadások</t>
  </si>
  <si>
    <t>Beruházás</t>
  </si>
  <si>
    <t>Felújítás</t>
  </si>
  <si>
    <t>Egyéb felhalmozási kiadások</t>
  </si>
  <si>
    <t xml:space="preserve"> Pénzeszköz átadás</t>
  </si>
  <si>
    <t>Folyó évi kiadások összesen</t>
  </si>
  <si>
    <t>Finanszírozási kiadások</t>
  </si>
  <si>
    <t>Engedélyezett létszámkeret</t>
  </si>
  <si>
    <t>Jogcím</t>
  </si>
  <si>
    <t>Összeg</t>
  </si>
  <si>
    <t>Ellátottak térítési díjának, kártérítésének méltányossági alapon történő elengedése</t>
  </si>
  <si>
    <t>Lakásépítéshez, lakásfelújításhoz nyújtott kölcsönök elengedése</t>
  </si>
  <si>
    <t>Magánszemélyek kommunális adójának kedvezménye</t>
  </si>
  <si>
    <t>Helyiségek, eszközök hasznosításából származó bevétel kedvezménye</t>
  </si>
  <si>
    <t>Ivóvíz és szennyvízcsatorna díj lakossági támogatása</t>
  </si>
  <si>
    <t>Szemétszállítási díj kedvezménye</t>
  </si>
  <si>
    <t>Összesen:</t>
  </si>
  <si>
    <t xml:space="preserve">    Ezer forintban!</t>
  </si>
  <si>
    <t>Tápiógyörgye Községi Önkormányzat által adott közvetett támogatások</t>
  </si>
  <si>
    <t>Kedvezmények:</t>
  </si>
  <si>
    <t>- Tehergépkocsi</t>
  </si>
  <si>
    <t>- Nyergesvontató</t>
  </si>
  <si>
    <t>- Autóbusz</t>
  </si>
  <si>
    <t>Adómentesség:</t>
  </si>
  <si>
    <t>3. Egyházi mentesség</t>
  </si>
  <si>
    <t>4. Költségvetési szerv, egyesület</t>
  </si>
  <si>
    <t>5. Helyi és helyközi tömegközlekedés</t>
  </si>
  <si>
    <t>0 db</t>
  </si>
  <si>
    <t>Gépjárműadó kedvezmeény, mentesség összesen:</t>
  </si>
  <si>
    <t>Gépjárműadó mentesség részletezése:</t>
  </si>
  <si>
    <t>Sportegyesület támogatása</t>
  </si>
  <si>
    <t xml:space="preserve">Asztalitenisz Sporegyesület </t>
  </si>
  <si>
    <t>Faluvédő Egyesület</t>
  </si>
  <si>
    <t>Tápiógyörgyei Ifjú Fúvósokért Egyesület</t>
  </si>
  <si>
    <t>Torockó Baráti Társaság</t>
  </si>
  <si>
    <t>Nyugdíjas klub</t>
  </si>
  <si>
    <t>HAJT-A Csapat Egyesület</t>
  </si>
  <si>
    <t>Több éves elkötelezettséggel járó kiadási tételek évenkénti bontásban</t>
  </si>
  <si>
    <t>Feladat megnevezése</t>
  </si>
  <si>
    <t>2013. év</t>
  </si>
  <si>
    <t>2014. év</t>
  </si>
  <si>
    <t>2015. év</t>
  </si>
  <si>
    <t>2016. év</t>
  </si>
  <si>
    <t>2017. év</t>
  </si>
  <si>
    <t>Tartós kötelezettség</t>
  </si>
  <si>
    <t>A tervezett Infláció:</t>
  </si>
  <si>
    <t>I. Bevételek</t>
  </si>
  <si>
    <t>Jogcímek megnevezése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</si>
  <si>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</si>
  <si>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</si>
  <si>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</si>
  <si>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</si>
  <si>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</si>
  <si>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</si>
  <si>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</si>
  <si>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</si>
  <si>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</si>
  <si>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</si>
  <si>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</si>
  <si>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</si>
  <si>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havi</t>
  </si>
  <si>
    <t>halmozott</t>
  </si>
  <si>
    <t>Intézményi működési bevétel</t>
  </si>
  <si>
    <t>Megosztott, átengedett bevétel</t>
  </si>
  <si>
    <t>A helyi Önkörmányzatok által felh. Központosított előriny.</t>
  </si>
  <si>
    <t>Átvett pénzeszköz</t>
  </si>
  <si>
    <t>Bírságok, pótlékok és egyéb sajátos bev.</t>
  </si>
  <si>
    <t>Működési bevételek összesen:</t>
  </si>
  <si>
    <t>Felhalm. bevételek összesen:</t>
  </si>
  <si>
    <t>II. Kiadások</t>
  </si>
  <si>
    <t>Személyi juttatások</t>
  </si>
  <si>
    <t>Munkaadót terhelő járulék</t>
  </si>
  <si>
    <t>Dologi kiadás</t>
  </si>
  <si>
    <t>Ellátottak pénzbeni juttatása</t>
  </si>
  <si>
    <t>Hiteltörlesztés</t>
  </si>
  <si>
    <t>Működési kiadások összesen:</t>
  </si>
  <si>
    <t>Egyéb felhalmozási kiadás</t>
  </si>
  <si>
    <t>Tartalék felhasználás:</t>
  </si>
  <si>
    <t>Egyenleg (havi záró pénzáll.):</t>
  </si>
  <si>
    <t>Előző évi felhalmozási pénzmaradvány</t>
  </si>
  <si>
    <t>Előző év december 31-i állapot</t>
  </si>
  <si>
    <t>2018. év</t>
  </si>
  <si>
    <t>Az Önkormányzati hitelek alakulása</t>
  </si>
  <si>
    <t xml:space="preserve"> számviteli mérlege</t>
  </si>
  <si>
    <t xml:space="preserve">Tápiógyörgye Község Önkormányzatának                                               </t>
  </si>
  <si>
    <t>Konyha</t>
  </si>
  <si>
    <t>Könyvtár és Művelődési ház</t>
  </si>
  <si>
    <t>Tápiógyörgye Polgármesteri  Hivatal</t>
  </si>
  <si>
    <t>Tápiógyörgye Polgármesteri Hivatal</t>
  </si>
  <si>
    <t>KONYHA</t>
  </si>
  <si>
    <t>Könyvtár és művelődési ház beruházásai összesen:</t>
  </si>
  <si>
    <t>Polgármesteri  Hivatal</t>
  </si>
  <si>
    <t>Polgármesteri Hivatal beruházásai összesen:</t>
  </si>
  <si>
    <t>Konyha felújításai összesen:</t>
  </si>
  <si>
    <t>Könyvtár és művelődési ház felújításai összesen:</t>
  </si>
  <si>
    <t>Polgármesteri Hivatal felújításai összesen:</t>
  </si>
  <si>
    <t>Kastélykert Óvoda</t>
  </si>
  <si>
    <t>Össz. Bevétel</t>
  </si>
  <si>
    <t>2013.évi tervezett közfoglalkoztatottak:</t>
  </si>
  <si>
    <t>2013.évi tervezett össz létszám:</t>
  </si>
  <si>
    <t>Az önkormányzat 2013. évi költségvetési kiadásainak alakulása</t>
  </si>
  <si>
    <t>2013 év</t>
  </si>
  <si>
    <t>Önállóan működő és gazdálkodó, valamint önállóan működő intézmények  2013. évi költségvetési támogatása</t>
  </si>
  <si>
    <t>Az önkormányzat 2013. évi felhalmozási kiadásai</t>
  </si>
  <si>
    <t>Strand</t>
  </si>
  <si>
    <t>Kastélykert Óvoda beruházásai össz.:</t>
  </si>
  <si>
    <t>Kastélykert Óvoda felújításai össz.:</t>
  </si>
  <si>
    <t>Közfoglalkoztatottak személyi juttatása (15. fő, 12. hónapra)</t>
  </si>
  <si>
    <t>Közalkalmazottak személyi juttatása (7 fő, 12 hónap)</t>
  </si>
  <si>
    <t>Többcélú Kistérségi Társulás</t>
  </si>
  <si>
    <t>Családsegítő Szolgálat</t>
  </si>
  <si>
    <t>Iskola fenntartás</t>
  </si>
  <si>
    <t>Szilárd hulladék gazd.i rendsz.</t>
  </si>
  <si>
    <t>Közvilágítás</t>
  </si>
  <si>
    <t>Temető fenntartás</t>
  </si>
  <si>
    <t>Védőnői szolgálat</t>
  </si>
  <si>
    <t>Mezőőri szolgálat</t>
  </si>
  <si>
    <t xml:space="preserve">Egyéb költségtérítés </t>
  </si>
  <si>
    <t>Telefon,Internet szolgáltatás</t>
  </si>
  <si>
    <t xml:space="preserve">Bérleti és lízing díjak </t>
  </si>
  <si>
    <t>Könyvtár és Művelődési ház kiadási előirányzatai</t>
  </si>
  <si>
    <t xml:space="preserve">Közalkalmazottak illetménye </t>
  </si>
  <si>
    <t>Önkormányzati Konyha és Étterem kiadási előirányzatai</t>
  </si>
  <si>
    <t>Tisztítószer</t>
  </si>
  <si>
    <t>Szakm.anyag és kis ért. Tárgyi eszköz. beszerzés</t>
  </si>
  <si>
    <t>Munkaruha, védőruha</t>
  </si>
  <si>
    <t>Egyéb készletbeszerzés, élelmiszer beszerzés</t>
  </si>
  <si>
    <t>Gondozási Központ kiadási előirányzatai</t>
  </si>
  <si>
    <t>Önállóan működő és gazdálkodó, valamint önállóan működő intézmények kiadásai  2013 évben</t>
  </si>
  <si>
    <t>Konyha és Étterem</t>
  </si>
  <si>
    <t>Gondozási Központ</t>
  </si>
  <si>
    <t xml:space="preserve">2013. évi költségvetésének   </t>
  </si>
  <si>
    <t>2012. év</t>
  </si>
  <si>
    <t>Az Önkormányzatnál 2013. évben megvalósuló európai forrásból finanszírozott programok, projektek</t>
  </si>
  <si>
    <t>2012 év</t>
  </si>
  <si>
    <t>Az önkormányzat 2013. évi bevételei</t>
  </si>
  <si>
    <t>2013 évi előirányzat</t>
  </si>
  <si>
    <t>Költségvetési bevételek 2013. évben összesen:</t>
  </si>
  <si>
    <t>2013. év azon fejlesztési céljait, amelyek megvalósításához a Stabilitási tv. 3. § (1) bekezdése szerinti adósságot keletkeztető ügylet megkötése válik vagy válhat szükségessé</t>
  </si>
  <si>
    <t>KONYHA beruházásai összesen:</t>
  </si>
  <si>
    <t>Hitel állomány alakulása</t>
  </si>
  <si>
    <t>Fénymásoló</t>
  </si>
  <si>
    <t>Helyi adók részletezése:</t>
  </si>
  <si>
    <t xml:space="preserve">   II.1.1.a) Önkormányzati hivatal működésének támogatása 8.94 fő x 4.580.000 Ft.</t>
  </si>
  <si>
    <t xml:space="preserve">   II.1.1.b) Település-üzemeltetéshez kapcsolódó feladatellátás támogatása összesen</t>
  </si>
  <si>
    <t xml:space="preserve">       II.1.1.bb) Közvilágítás fenntartásának támogatása</t>
  </si>
  <si>
    <t xml:space="preserve">       II.1.1.bc) Köztemető fenntartással kapcsolatos feladatok támogatása</t>
  </si>
  <si>
    <t xml:space="preserve">       II.1.1.bd) Közutak fenntartásának támogatása</t>
  </si>
  <si>
    <t xml:space="preserve">   II.1.1.c) Beszámítás összege</t>
  </si>
  <si>
    <t xml:space="preserve">   II.1.d) Egyéb kötelező önkormányzati feladatok támogatása 3.629 fő x 2.700 Ft.</t>
  </si>
  <si>
    <t>1. A helyi Önkormányzatok  működésének általános támogatása</t>
  </si>
  <si>
    <t>1. A helyi Önkormányzatok  működésének általános támogatása összesen:</t>
  </si>
  <si>
    <t>2. A települési Önkormányzatok egyes köznevelési és gyermekétkeztetési feladatainak támogatása</t>
  </si>
  <si>
    <t xml:space="preserve">       II.1.1.ba) A zöldterület-gazdálkodással kapcsolatos feladatok ellátásának 
       támogatása 22.261 Ft./hektár</t>
  </si>
  <si>
    <t>2. A települési Önkormányzatok egyes köznevelési és gyermekétkeztetési feladatainak támogatása összesen:</t>
  </si>
  <si>
    <t xml:space="preserve">   II.2.1. (2) 2 óvodapedagógusok nevelő munkáját közvetlenül segítők száma a
   Köznev. tv. 2. melléklete szerint (5 fő x1.632.000 Ft)/ 12 hó x 4 hó</t>
  </si>
  <si>
    <t xml:space="preserve">   II.2.2. (8) 2 gyermekek teljes idejű óvodai nevelésre szervezett csoport
   (111 fő x 54.000 Ft) / 12 hó x 4 hó</t>
  </si>
  <si>
    <t xml:space="preserve">   II.2.3. Ingyenes és kedvezményes gyermekétkeztetés támogatása
   (197 fő x 102.000 Ft) </t>
  </si>
  <si>
    <t>3. A települési Önkormányzatok szociális és gyermekjóléti feladatainak támogatása</t>
  </si>
  <si>
    <t>3. A települési Önkormányzatok szociális és gyermekjóléti feladatainak támogatása összesen:</t>
  </si>
  <si>
    <t xml:space="preserve">   II.3.2. Hozzájárulás a pénzbeli szociális ellátásokhoz</t>
  </si>
  <si>
    <t xml:space="preserve">   II.2.1. (1) 2 óvodapedagógusok elismert létszáma (10 föx2.832.000 Ft)/12 hóx 4 hó</t>
  </si>
  <si>
    <t xml:space="preserve">   II.3.3.c (1) szociális étkeztetés (90 főx 55.360 Ft.)</t>
  </si>
  <si>
    <t xml:space="preserve">   II.3.3.f (1) időskorúak nappali intézményi ellátása (15 főx 109.000 Ft)</t>
  </si>
  <si>
    <t>4. A települési Önkormányzatok kulturális feladatainak támogatása</t>
  </si>
  <si>
    <t xml:space="preserve">   II.3.4.a A számított intézményvezetői és a segítői munkatárs létszámhoz
   kapcsolódó bértámogatás (8 főx 2.606.040 Ft.) </t>
  </si>
  <si>
    <t>4. A települési Önkormányzatok kulturális feladatainak támogatása összesen:</t>
  </si>
  <si>
    <t>2. számú melléklet szerint támogatások:</t>
  </si>
  <si>
    <t xml:space="preserve">2. számú melléklet szerint támogatások összesen:    </t>
  </si>
  <si>
    <t>3. számú melléklet szerint támogatások:</t>
  </si>
  <si>
    <t xml:space="preserve">   II.4.1.d A települési önkormányzatok támogatása a nyilvános könyvtári ellátási és a
   Közművelődési feladatokhoz (3629 fő x 1.140 Ft)</t>
  </si>
  <si>
    <t xml:space="preserve">5. A helyi Önkormányzatok által felh. Központosított előriny. </t>
  </si>
  <si>
    <t>5. A helyi Önkormányzatok által felh. Központosított előriny. összesen:</t>
  </si>
  <si>
    <t xml:space="preserve">   II.5.1. Lakossági közműfejlesztési támogatás</t>
  </si>
  <si>
    <t xml:space="preserve">   II.5.3. Lakossági települési folyékony hulladék ártalmatlanítása</t>
  </si>
  <si>
    <t xml:space="preserve">   II.5.6. Helyi szervezési intézkedésekhez kapcsolódó többletkiadások támogatása </t>
  </si>
  <si>
    <t>II Támogatások összesen (1.1-1.5.):</t>
  </si>
  <si>
    <t>- Strand pályázat</t>
  </si>
  <si>
    <t>Előző évi pénzmaradvány felhasználás</t>
  </si>
  <si>
    <t>Tápiógyörgye Lakóiért Alapítvány visszafizetése</t>
  </si>
  <si>
    <t>73 db</t>
  </si>
  <si>
    <t>9 db</t>
  </si>
  <si>
    <t>4 db</t>
  </si>
  <si>
    <t>35 db</t>
  </si>
  <si>
    <t>Gépjárműadó kedvezmények és adómentesség</t>
  </si>
  <si>
    <r>
      <t xml:space="preserve">1. </t>
    </r>
    <r>
      <rPr>
        <u/>
        <sz val="11"/>
        <rFont val="Times New Roman"/>
        <family val="1"/>
      </rPr>
      <t>Környezetvédelmi osztálykód alapján</t>
    </r>
  </si>
  <si>
    <r>
      <t xml:space="preserve">2. </t>
    </r>
    <r>
      <rPr>
        <u/>
        <sz val="11"/>
        <rFont val="Times New Roman"/>
        <family val="1"/>
      </rPr>
      <t>Mozgáskorlátozottak gépjárművei után</t>
    </r>
    <r>
      <rPr>
        <sz val="11"/>
        <rFont val="Times New Roman"/>
        <family val="1"/>
      </rPr>
      <t xml:space="preserve">  </t>
    </r>
  </si>
  <si>
    <t>(kedvezmények) 2013. évi terve</t>
  </si>
  <si>
    <t>Tavalyi</t>
  </si>
  <si>
    <t>Egyéb bérrendszerben foglalkoztatottak illetménye (1 fő)</t>
  </si>
  <si>
    <t>Köztisztviselők, polgármester illetménye (10 fő)</t>
  </si>
  <si>
    <t>VI. Társadalmi és szociálpolitikai juttatások</t>
  </si>
  <si>
    <t>VI. Társadalmi és szociálpolitikai juttatások összesen:</t>
  </si>
  <si>
    <t xml:space="preserve">Működési kiadások összesen (I.+II.+III.+IV.+V.+VI.): </t>
  </si>
  <si>
    <t>Önkormányzati (Polgármesteri) Hivatal kiadási előirányzatai</t>
  </si>
  <si>
    <t>Lakásfenntartási támogatás (227 fő)</t>
  </si>
  <si>
    <t>Foglalkoztatást helyettesítő támogatás (70 fő)</t>
  </si>
  <si>
    <t>Rendszeres gyermekvédelmi támogatás (2 x kifizetés 300 fő)</t>
  </si>
  <si>
    <t>Óvodáztatási támogatás (2 x kifizetés15 fő)</t>
  </si>
  <si>
    <t>Méltányossági közgyógyellátás (rendelet alapján 9 fő)</t>
  </si>
  <si>
    <t>Köztemetés (17 fő x 73.660)</t>
  </si>
  <si>
    <t>Önkormányzati rész:</t>
  </si>
  <si>
    <t>Különbözet :</t>
  </si>
  <si>
    <t>--&gt; ezt ez államnak kell finanszírozni !!!</t>
  </si>
  <si>
    <t>Önk. fizetendő százaléka</t>
  </si>
  <si>
    <t>Cafetéria-juttatás (10 fő)</t>
  </si>
  <si>
    <t>Takarítónő (közalkalmazottként kell-e????</t>
  </si>
  <si>
    <t>Pénzügyi szolgáltatás (bankköltség, vagyon biztosítás)</t>
  </si>
  <si>
    <t>Utak kátyúzása, karbantartása</t>
  </si>
  <si>
    <t>Pénzügyi szolgáltatás (bank költség)</t>
  </si>
  <si>
    <t>(Posta,hulladék,Hirdetés,Jogi képvis.,Ingatlan értékb.,tulajdoni lap, stb)</t>
  </si>
  <si>
    <t>Hajtó, kenőanyag</t>
  </si>
  <si>
    <t>Tervezett közfoglalkoztatottak létszám:</t>
  </si>
  <si>
    <t>Tervezett össz létszám:</t>
  </si>
  <si>
    <t>Az Önkormányzatnál szereplő dologi kiadások részletezése:</t>
  </si>
  <si>
    <t>Önkormányzati Feladatok:</t>
  </si>
  <si>
    <t>Falubusz</t>
  </si>
  <si>
    <t>Faliújság</t>
  </si>
  <si>
    <t>Háziorvosi szolgálat</t>
  </si>
  <si>
    <t xml:space="preserve">Nagybusz </t>
  </si>
  <si>
    <t>Üdültetés, ifjúsági tábor</t>
  </si>
  <si>
    <t>Védett term.i értékek</t>
  </si>
  <si>
    <t>Egyéb</t>
  </si>
  <si>
    <t xml:space="preserve">Vásárolt szolgáltatások </t>
  </si>
  <si>
    <t xml:space="preserve">Település üzemeltetés </t>
  </si>
  <si>
    <t>Szenyvíz szippantás</t>
  </si>
  <si>
    <t>Erdőgaz-dálkodás</t>
  </si>
  <si>
    <t>A helyi Önkörmányzatok által felh. Központosított előriny. (3.sz.melléklet)</t>
  </si>
  <si>
    <t>Tápiógyörgye Község Önkormányzatának 2013. évi előirányzat-felhasználási és pénzügyi likviditási ütemterve</t>
  </si>
  <si>
    <t>Kiszámlázott termékek és szolgáltatások ÁFA-ja (befizetés NAV)</t>
  </si>
  <si>
    <t>Keresetkiegészítés</t>
  </si>
  <si>
    <t>Éjszakai, délutáni ünnapnapi pótlék</t>
  </si>
  <si>
    <t>Egyéb készletbeszerzés (pl. takarítószer, közfog. terhére eszközök, gyógyszer)</t>
  </si>
  <si>
    <t>Egyéb készletbeszerzés (pl. takarítószer)</t>
  </si>
  <si>
    <t>Élelmiszer beszerzés</t>
  </si>
  <si>
    <t>Egyéb készletbeszerzés (pl. takarítószer, gyógyszer)</t>
  </si>
  <si>
    <t>Helyi Önkormányzat</t>
  </si>
  <si>
    <t>sor.</t>
  </si>
  <si>
    <t>Konyha bevételek</t>
  </si>
  <si>
    <t>Táborozás</t>
  </si>
  <si>
    <t>Óvodáskorú gyermek étkeztetés:</t>
  </si>
  <si>
    <t>ÉMÁSZ Részvények osztaléka</t>
  </si>
  <si>
    <t>Lakástámogatás részletei (Önk. Ért. részletei)</t>
  </si>
  <si>
    <t>Földhaszonbér</t>
  </si>
  <si>
    <t>Telenor (Pannon) telefontársaság bérleti díja</t>
  </si>
  <si>
    <t>Termőföld használathoz kapcsolodó hirdetmény díja</t>
  </si>
  <si>
    <t>Piaci helypénz</t>
  </si>
  <si>
    <t>Ingatlanok bérbeadása</t>
  </si>
  <si>
    <t>Temető bevételek</t>
  </si>
  <si>
    <t>Művelődésiház egyb bevétele (rendezvény)</t>
  </si>
  <si>
    <t>Tagdíj, bérleti díj,internet bevétel</t>
  </si>
  <si>
    <t>Háziorvosi, fogorvosi szolg. Energia megtérítése</t>
  </si>
  <si>
    <t>- Mezőőri támogatás (FVM által utalt)</t>
  </si>
  <si>
    <t>Mindösszesen:</t>
  </si>
  <si>
    <t>Napközis gyermekek étkeztetés:</t>
  </si>
  <si>
    <t>Tápiógyörgye Község Önkormányzat</t>
  </si>
  <si>
    <t>Szennyvízszállítás bevéte</t>
  </si>
  <si>
    <t>Védett természeti értékek gonozása, bemutatása</t>
  </si>
  <si>
    <t>Személyszállítási bevételek</t>
  </si>
  <si>
    <t>Egyéb bevételek</t>
  </si>
  <si>
    <t>Strand bevételek</t>
  </si>
  <si>
    <t>Mosodai szolgáltatási bevételek</t>
  </si>
  <si>
    <t>ÁFA</t>
  </si>
  <si>
    <t>háromszori étkezés</t>
  </si>
  <si>
    <t>kétszeri étkezés</t>
  </si>
  <si>
    <t xml:space="preserve">egyszeri étkezés </t>
  </si>
  <si>
    <t>Fő</t>
  </si>
  <si>
    <t>Nap</t>
  </si>
  <si>
    <t>Ár</t>
  </si>
  <si>
    <t>Összeg:</t>
  </si>
  <si>
    <t>Vásárolt közszolgáltatások (szociális étkeztetés)</t>
  </si>
  <si>
    <t>Vásárolt közszolgáltatások (Gondozási központétkeztetéses)</t>
  </si>
  <si>
    <t>Gondozási díj (25 fő)</t>
  </si>
  <si>
    <t>össz:</t>
  </si>
  <si>
    <t>A visszaigényelhető ÁFA</t>
  </si>
  <si>
    <t>II Támogatások +várható (1.1-1.6):</t>
  </si>
  <si>
    <t>Rezsiköltségszámlázás az önkormányzat felé</t>
  </si>
  <si>
    <t>Bérleti díj Önkormányzatnak</t>
  </si>
  <si>
    <t>Üdültetés bevéte (Táborozás)</t>
  </si>
  <si>
    <t>2.1.4. Mezőőri járulék</t>
  </si>
  <si>
    <t xml:space="preserve">  II.6.2. Egyes jövedelempótló támogatások állami rész (várható) </t>
  </si>
  <si>
    <t xml:space="preserve">  II.6.1. A települési önkormányzatok támogatása a nyilvános könyvtári ellátási és a
   Közművelődési feladatokhoz (3629 fő x 1.140 Ft)</t>
  </si>
  <si>
    <t>6. Várható egyébb támogatások összesen:</t>
  </si>
  <si>
    <t>Munkahelyi étkezés (10 fő x (710 Ft.-ÁFA))</t>
  </si>
  <si>
    <t>Szociális étkezés (90 főx 252 nap x (490 Ft. - ÁFA))</t>
  </si>
  <si>
    <t>Nettó számítás</t>
  </si>
  <si>
    <t>ÁFA számítás</t>
  </si>
  <si>
    <t>Ez külön van felvéve!!!!</t>
  </si>
  <si>
    <t>Vásárolt termékek és szolgáltatások ÁFA-ja (vissza ig.)</t>
  </si>
  <si>
    <t>Ellenőrzőszám:</t>
  </si>
  <si>
    <t>Szemétszállító gépjármű bérleti díja (átadott pénzeszköz)</t>
  </si>
  <si>
    <t>Nettó finanszírozás ütemezése:</t>
  </si>
  <si>
    <t xml:space="preserve">               polgármester</t>
  </si>
  <si>
    <t>Tápiógyörgye, 2013. február 03.</t>
  </si>
  <si>
    <t xml:space="preserve">            Varró István</t>
  </si>
  <si>
    <t xml:space="preserve">       Dr. Papp Antal</t>
  </si>
  <si>
    <t xml:space="preserve">               jegyző</t>
  </si>
  <si>
    <t xml:space="preserve">Pénzállomány változás </t>
  </si>
  <si>
    <t>(Likviditás változás havonta)</t>
  </si>
  <si>
    <t>2012.12.31. pénzállomány</t>
  </si>
  <si>
    <t>368/2011. (XII. 31.)Korm. 6. sz. melléklet</t>
  </si>
  <si>
    <t>Egyenleg 2013.12.31.-én</t>
  </si>
  <si>
    <t>(Készpénz+Bank)</t>
  </si>
  <si>
    <t>Bank</t>
  </si>
  <si>
    <t>Készpénz</t>
  </si>
  <si>
    <t>Gamesz</t>
  </si>
  <si>
    <t>ÖNÓ</t>
  </si>
  <si>
    <t>Ált.Iskola</t>
  </si>
  <si>
    <t>Műv+könyvtár</t>
  </si>
  <si>
    <t>Óvoda</t>
  </si>
  <si>
    <t>Önk. Működés</t>
  </si>
  <si>
    <t>Önk. Állami</t>
  </si>
  <si>
    <t>Várható támogatások</t>
  </si>
  <si>
    <t>Hitel</t>
  </si>
  <si>
    <t>Bevételi táblákból</t>
  </si>
  <si>
    <t>Kiadási tábákból</t>
  </si>
  <si>
    <t>1. sz. mellékletből</t>
  </si>
  <si>
    <t>3. sz. mellékletből</t>
  </si>
  <si>
    <t>Pénzmaradvány</t>
  </si>
  <si>
    <t>Megbontás</t>
  </si>
  <si>
    <t>Felírva</t>
  </si>
  <si>
    <t>Egyéb üzemeltetési szolg. (Községi rendezvények +Varga József (Matemaitkai v.))</t>
  </si>
  <si>
    <t>BURSA ösztöndíj</t>
  </si>
  <si>
    <t>(Posta,hulladék,Hirdetés,Jogi képvis.,Ingatlan értékb.,tulajdoni lap, Szenyvíz eng.díj, engedélyeztetési terv, Szaghatás vizsgállat, stb)</t>
  </si>
  <si>
    <t>(Posta,hulladék,Hirdetés,Jogi képvis.,Ingatlan értékb.,tulajdoni lap, Szenyvíz eng.díj, engedélyeztetési terv, Szaghatás vizsgállat, stb.)</t>
  </si>
  <si>
    <t>Orvosi rendelő átalkítás mozgáskorlátozottak részére</t>
  </si>
  <si>
    <t>Gondozási Központ (25 fő x 365 nap x (900 Ft. - ÁFA))</t>
  </si>
  <si>
    <t>Intézményi bevételek részletezése:</t>
  </si>
  <si>
    <t>Vodafone telefontársaság bérleti díja</t>
  </si>
  <si>
    <t>Eszközértékesítés (2 db gép)</t>
  </si>
  <si>
    <t>Vízdíj és hátralék bevétel</t>
  </si>
  <si>
    <t>- Helyi adóhátralék képzése</t>
  </si>
  <si>
    <t>Tagdíjak, pályázati díj, biztosítás</t>
  </si>
  <si>
    <t>Kevésnek tűnik alultervezett !!!</t>
  </si>
  <si>
    <t>Állami hozzájárulás mértéke intézményenként</t>
  </si>
  <si>
    <t>Megjegyzés:</t>
  </si>
  <si>
    <t>Önkormányzati költségvetési támogatás, finanszírozás</t>
  </si>
  <si>
    <t>Intézményi saját bevétel</t>
  </si>
  <si>
    <t>Intézményi költségvetési kiadás</t>
  </si>
  <si>
    <t>Helyi önkormányzati Intézmények</t>
  </si>
  <si>
    <t>Önállóan működő és gazdálkodó, valamint önállóan működő intézmények bevételei 2013 évben</t>
  </si>
  <si>
    <t>Tényleges Ömkormányzati hozzájárulás</t>
  </si>
  <si>
    <t>-Ebből kötelező intézményi tartalék:</t>
  </si>
  <si>
    <t>12 db</t>
  </si>
  <si>
    <t>Gyermek étkeztetés összesen:</t>
  </si>
  <si>
    <t>Vásárolt szolgáltatások (egyéb)</t>
  </si>
  <si>
    <t>Vásárolt szolgáltatások (Étk. Rezsi költség + 50%-100% -ban ingyenesen étkezők)</t>
  </si>
  <si>
    <t>Gyermek étkeztetés</t>
  </si>
  <si>
    <t>-Beruházási hitel felvétel (a strand önrészre)</t>
  </si>
  <si>
    <t xml:space="preserve"> </t>
  </si>
  <si>
    <t>Befizetendő ÁFA számítás</t>
  </si>
  <si>
    <t>Vízi közmű bérleti díj (amortizáció)</t>
  </si>
  <si>
    <t>IX.  Finanszírozási bevétel</t>
  </si>
  <si>
    <t>Felhalmozási hitel felvétel</t>
  </si>
  <si>
    <t>Felhalmozási hitel</t>
  </si>
  <si>
    <t>Kastély Óvoda kiadási előirányzatai</t>
  </si>
  <si>
    <t>háromszori étkezés (38 fő x 220 nap x 270 Ft.)</t>
  </si>
  <si>
    <t>kétszeri étkezés (36 fő x 220 nap x 230 Ft.)</t>
  </si>
  <si>
    <t>alsós: (40 fő x 185 nap x 360 Ft.)</t>
  </si>
  <si>
    <t>felsős: (2 fő x 185 nap x 375 Ft.)</t>
  </si>
  <si>
    <t>alsós: (38 fő x 185 nap x 310 Ft.)</t>
  </si>
  <si>
    <t>felsős: (49 fő x 185 nap x 325 Ft.)</t>
  </si>
  <si>
    <t>alsós: (2 fő x 185 nap x 240 Ft.)</t>
  </si>
  <si>
    <t>felsős: (5 fő x 185 nap x 255 Ft.)</t>
  </si>
  <si>
    <t xml:space="preserve">   II.5.10.e) Belterületi utak szilárd burkolattal való ellátása</t>
  </si>
  <si>
    <t>- ÖNHIKI (4. számú melléklet 1./IV. meghatározott helyi önkormányzatok működőképessége megőrzését szolgáló kiegészítő támogatás)</t>
  </si>
  <si>
    <t>Időpont</t>
  </si>
  <si>
    <t>Rendezvény</t>
  </si>
  <si>
    <t>Március 15-ei községi ünnepség</t>
  </si>
  <si>
    <t>Faluház</t>
  </si>
  <si>
    <t xml:space="preserve">Községi majális  </t>
  </si>
  <si>
    <t xml:space="preserve">Szabadidőpark </t>
  </si>
  <si>
    <t>Hősök Napi megemlékezés</t>
  </si>
  <si>
    <t>templomkert</t>
  </si>
  <si>
    <t>Trianoni megemlékezés</t>
  </si>
  <si>
    <t>Falunap – szabadtéri ünnep</t>
  </si>
  <si>
    <t>Szent István Napi megemlékezés</t>
  </si>
  <si>
    <t>Millenniumi emlékmű</t>
  </si>
  <si>
    <t>Szüreti felvonulás, bál</t>
  </si>
  <si>
    <t>Faluház előtti terület</t>
  </si>
  <si>
    <t>Október 23-ra emlékezünk</t>
  </si>
  <si>
    <t>Tervezett összeg</t>
  </si>
  <si>
    <t>2013.10.23 18. óra</t>
  </si>
  <si>
    <t>2013. március 15. 17 óra</t>
  </si>
  <si>
    <t>2013. május 01.</t>
  </si>
  <si>
    <t>2013. május 26</t>
  </si>
  <si>
    <t>Iskola</t>
  </si>
  <si>
    <t>2013. június 22.</t>
  </si>
  <si>
    <t>2013. augusztus 20. 9.30 óra</t>
  </si>
  <si>
    <t>2013. december 21.</t>
  </si>
  <si>
    <t>Karácsonyváró műsor, Tápiógyörgyei Ifjúsági Fúvószenekar karácsonyi koncertje</t>
  </si>
  <si>
    <t>2013. október 12.</t>
  </si>
  <si>
    <t>Helyszín</t>
  </si>
  <si>
    <t>2013. július 27.</t>
  </si>
  <si>
    <t>Varga József Matematikai díj</t>
  </si>
  <si>
    <t>Intézményi bevételek összesen  (2+3)</t>
  </si>
  <si>
    <t xml:space="preserve">3. </t>
  </si>
  <si>
    <t>Az 5. oszlop Állami hozzájárulás mértéke intézményenként megegyezik az 1. számú melléklet II. Támogatások összegével.</t>
  </si>
  <si>
    <t>(Tájékoztató adat arra vonatkozóan, hogy egy-egy intézmény fenntartásához mekkora állami támogatás jár.)</t>
  </si>
  <si>
    <t>A 6. oszlop a Tényleges Ömkormányzati hozzájárulás egyenlő a 3. oszlopból a 5. oszlop, ha az pozítv szám!!!</t>
  </si>
  <si>
    <t>(Ha a szám negív lenne akkor ez esetben töbletett jelentene, mely átcsoportosításra kerül olyan intézményhez, melynél hiány merül fel.</t>
  </si>
  <si>
    <t>pl. a Polgármesteri Hivatal plusz bevételei fedezik a többi intézmény hiányát.)</t>
  </si>
  <si>
    <t>2013. június 30. -ig</t>
  </si>
  <si>
    <t>Turák István főjegyző emléktábla</t>
  </si>
  <si>
    <t>Színjátszó társulás kiadásai</t>
  </si>
  <si>
    <t>2013. június 01. 18 óra</t>
  </si>
  <si>
    <t>2013. szeptember</t>
  </si>
  <si>
    <t>nettó:</t>
  </si>
  <si>
    <t>S.sz.</t>
  </si>
  <si>
    <t xml:space="preserve">4. </t>
  </si>
  <si>
    <t>Az "Intézményi saját bevétel" 3. oszlop megegyezik a 2. számú melléklet "Saját bevételek összegével".</t>
  </si>
  <si>
    <t>(tervezet)</t>
  </si>
  <si>
    <t>A környezetvédelmi alap jelenleg 0 forintot tartalmaz.</t>
  </si>
  <si>
    <t>A környezet védelmének általános szabályairól szóló 1995. évi LIII. törvény                   58. § (5) bekezdése alapján</t>
  </si>
  <si>
    <t>Tápiógyörgye Község Önkormányzat Környezetvédelmi Alap felhasználási terve 2013. évben</t>
  </si>
  <si>
    <t>- Utcanév változásra tartalék képzés</t>
  </si>
  <si>
    <t>Vasutas Szövetség támogatása,</t>
  </si>
  <si>
    <t>Technikai_Áfa mentesítés</t>
  </si>
  <si>
    <t>Tápiószele Székhelyű Közös Fenntartású Családsegítő és Gyerekjóléti Szolgálati Társulás</t>
  </si>
  <si>
    <t>Jászalsószentgyörgy, Jászboldogháza, Tápiógyörgye Köznevelési Intézményfenntartó Társulás</t>
  </si>
  <si>
    <t>Tápió-vidéki Többcélú Kistérségi Társulás (Nagykátai kistérségi társulás)</t>
  </si>
  <si>
    <t>- Jászalsószentgyörgy, Jászboldogháza, Tápiógyörgye Köznevelési Intézményfenntartó Társulás</t>
  </si>
  <si>
    <t>AZ F24 kivan véve az ÁFÁ-ból !!!!!!!</t>
  </si>
  <si>
    <t>Fővárosi Ítélőtábla fizetési kötelezése</t>
  </si>
  <si>
    <t>49.358.858 Ft</t>
  </si>
  <si>
    <t xml:space="preserve">6. </t>
  </si>
  <si>
    <t>Az óvoda sajátbevétele a intézményi társulás pénzeszköz átvétele</t>
  </si>
  <si>
    <t>Tartalék változás</t>
  </si>
  <si>
    <t>Mikor</t>
  </si>
  <si>
    <t xml:space="preserve">Kinek </t>
  </si>
  <si>
    <t>Tűzoltóság</t>
  </si>
  <si>
    <t>Normatíva lemondás (sajátos nevelésű)</t>
  </si>
  <si>
    <t>Normatíva lemondás (étkezés miatt)</t>
  </si>
  <si>
    <t>Pénzügyi maradvány felosztása</t>
  </si>
  <si>
    <t xml:space="preserve">Tápióvölgye Alapítvány </t>
  </si>
  <si>
    <t>ok</t>
  </si>
  <si>
    <t>2.A táblázat létszám csökkentés</t>
  </si>
  <si>
    <t>Tápió völgye alapítvány</t>
  </si>
  <si>
    <t>5. táblázat VI. pénzeszköz átadás</t>
  </si>
  <si>
    <t>5. táblázat IX. Tartalék</t>
  </si>
  <si>
    <t>2. Cél tartalék</t>
  </si>
  <si>
    <t>Eredeti költségvetésbe</t>
  </si>
  <si>
    <t>2013.04.29. módosítás</t>
  </si>
  <si>
    <t>Eredeti</t>
  </si>
  <si>
    <t>Változás</t>
  </si>
  <si>
    <t>Tartalékot növeli</t>
  </si>
  <si>
    <t>2011. évi normatíva visszafizetés</t>
  </si>
  <si>
    <t>AZ AA44-ben +1 van becsalva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</si>
</sst>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Ft&quot;;\-#,##0\ &quot;Ft&quot;"/>
    <numFmt numFmtId="164" formatCode="_-* #,###,;"/>
    <numFmt numFmtId="165" formatCode="#,##0\ &quot;Ft&quot;"/>
    <numFmt numFmtId="166" formatCode="#,##0.00\ &quot;Ft&quot;"/>
    <numFmt numFmtId="167" formatCode="_-* ##,##0&quot; eFt&quot;;"/>
    <numFmt numFmtId="168" formatCode="#,##0\ _F_t"/>
    <numFmt numFmtId="169" formatCode="_-* ##,##0,;\-_*\ ##,##0,;"/>
    <numFmt numFmtId="170" formatCode="_-* ##,##0,&quot; eFt&quot;;\-_*\ ##,##0,&quot; eFt&quot;;"/>
    <numFmt numFmtId="171" formatCode="#,##0.00\ _F_t"/>
    <numFmt numFmtId="172" formatCode="yyyy/mm/dd;@"/>
    <numFmt numFmtId="173" formatCode="#,##0_ ;\-#,##0\ "/>
  </numFmts>
  <fonts count="75" x14ac:knownFonts="1">
    <font>
      <sz val="11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charset val="238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38"/>
    </font>
    <font>
      <b/>
      <u/>
      <sz val="12"/>
      <name val="Times New Roman CE"/>
      <charset val="238"/>
    </font>
    <font>
      <b/>
      <u val="double"/>
      <sz val="12"/>
      <name val="Times New Roman"/>
      <family val="1"/>
    </font>
    <font>
      <b/>
      <u val="double"/>
      <sz val="13"/>
      <name val="Times New Roman"/>
      <family val="1"/>
    </font>
    <font>
      <sz val="10"/>
      <name val="Arial CE"/>
      <charset val="238"/>
    </font>
    <font>
      <b/>
      <sz val="14"/>
      <name val="Times New Roman"/>
      <family val="1"/>
    </font>
    <font>
      <sz val="12"/>
      <color indexed="8"/>
      <name val="Garamond"/>
      <family val="1"/>
      <charset val="238"/>
    </font>
    <font>
      <sz val="12"/>
      <color indexed="8"/>
      <name val="Times New Roman"/>
      <family val="1"/>
      <charset val="238"/>
    </font>
    <font>
      <sz val="12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u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1"/>
      <name val="Garamond"/>
      <family val="1"/>
      <charset val="238"/>
    </font>
    <font>
      <b/>
      <u val="double"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b/>
      <u val="double"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7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quotePrefix="1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49" fontId="10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9" fontId="12" fillId="0" borderId="0" xfId="0" applyNumberFormat="1" applyFont="1"/>
    <xf numFmtId="49" fontId="8" fillId="0" borderId="0" xfId="0" applyNumberFormat="1" applyFont="1"/>
    <xf numFmtId="49" fontId="9" fillId="0" borderId="0" xfId="0" applyNumberFormat="1" applyFont="1" applyAlignment="1">
      <alignment horizontal="right"/>
    </xf>
    <xf numFmtId="49" fontId="7" fillId="0" borderId="0" xfId="0" applyNumberFormat="1" applyFont="1"/>
    <xf numFmtId="0" fontId="13" fillId="0" borderId="0" xfId="0" applyFont="1"/>
    <xf numFmtId="49" fontId="14" fillId="0" borderId="0" xfId="0" applyNumberFormat="1" applyFont="1"/>
    <xf numFmtId="49" fontId="15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/>
    <xf numFmtId="164" fontId="9" fillId="0" borderId="0" xfId="0" applyNumberFormat="1" applyFont="1" applyBorder="1"/>
    <xf numFmtId="49" fontId="10" fillId="0" borderId="1" xfId="0" applyNumberFormat="1" applyFont="1" applyBorder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164" fontId="10" fillId="0" borderId="12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64" fontId="11" fillId="0" borderId="14" xfId="0" applyNumberFormat="1" applyFont="1" applyBorder="1" applyAlignment="1">
      <alignment vertical="center"/>
    </xf>
    <xf numFmtId="0" fontId="23" fillId="0" borderId="17" xfId="1" applyFont="1" applyBorder="1" applyAlignment="1">
      <alignment vertical="center" wrapText="1"/>
    </xf>
    <xf numFmtId="0" fontId="19" fillId="0" borderId="16" xfId="1" applyFont="1" applyBorder="1" applyAlignment="1">
      <alignment vertical="center" wrapText="1"/>
    </xf>
    <xf numFmtId="0" fontId="23" fillId="0" borderId="23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0" fillId="0" borderId="0" xfId="2" applyFont="1"/>
    <xf numFmtId="0" fontId="20" fillId="0" borderId="0" xfId="2" applyFont="1" applyBorder="1"/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right"/>
    </xf>
    <xf numFmtId="0" fontId="27" fillId="0" borderId="0" xfId="2" applyFont="1" applyAlignment="1">
      <alignment horizontal="left"/>
    </xf>
    <xf numFmtId="0" fontId="22" fillId="0" borderId="1" xfId="2" applyFont="1" applyBorder="1" applyAlignment="1">
      <alignment horizontal="center" vertical="center" wrapText="1"/>
    </xf>
    <xf numFmtId="3" fontId="20" fillId="0" borderId="0" xfId="2" applyNumberFormat="1" applyFont="1" applyBorder="1"/>
    <xf numFmtId="49" fontId="20" fillId="0" borderId="0" xfId="2" applyNumberFormat="1" applyFont="1" applyBorder="1"/>
    <xf numFmtId="49" fontId="20" fillId="0" borderId="0" xfId="2" applyNumberFormat="1" applyFont="1"/>
    <xf numFmtId="0" fontId="20" fillId="0" borderId="1" xfId="2" applyFont="1" applyBorder="1"/>
    <xf numFmtId="0" fontId="29" fillId="0" borderId="0" xfId="2" applyFont="1" applyBorder="1"/>
    <xf numFmtId="49" fontId="29" fillId="0" borderId="1" xfId="2" applyNumberFormat="1" applyFont="1" applyBorder="1"/>
    <xf numFmtId="3" fontId="22" fillId="0" borderId="0" xfId="2" applyNumberFormat="1" applyFont="1" applyBorder="1" applyAlignment="1"/>
    <xf numFmtId="0" fontId="22" fillId="0" borderId="0" xfId="2" applyFont="1" applyBorder="1" applyAlignment="1">
      <alignment horizontal="right"/>
    </xf>
    <xf numFmtId="0" fontId="28" fillId="0" borderId="0" xfId="2" applyFont="1" applyBorder="1" applyAlignment="1">
      <alignment horizontal="left"/>
    </xf>
    <xf numFmtId="0" fontId="22" fillId="0" borderId="0" xfId="2" applyFont="1" applyBorder="1"/>
    <xf numFmtId="0" fontId="30" fillId="0" borderId="0" xfId="2" applyFont="1" applyBorder="1"/>
    <xf numFmtId="0" fontId="31" fillId="0" borderId="25" xfId="2" applyFont="1" applyBorder="1"/>
    <xf numFmtId="0" fontId="31" fillId="0" borderId="25" xfId="2" applyFont="1" applyBorder="1" applyAlignment="1">
      <alignment horizontal="center"/>
    </xf>
    <xf numFmtId="164" fontId="17" fillId="0" borderId="0" xfId="0" applyNumberFormat="1" applyFont="1"/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/>
    <xf numFmtId="49" fontId="10" fillId="0" borderId="12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/>
    <xf numFmtId="0" fontId="10" fillId="0" borderId="19" xfId="0" applyFont="1" applyBorder="1" applyAlignment="1">
      <alignment vertical="center"/>
    </xf>
    <xf numFmtId="0" fontId="10" fillId="0" borderId="19" xfId="0" applyFont="1" applyBorder="1"/>
    <xf numFmtId="0" fontId="10" fillId="0" borderId="9" xfId="0" applyFont="1" applyBorder="1" applyAlignment="1">
      <alignment vertical="center"/>
    </xf>
    <xf numFmtId="0" fontId="6" fillId="0" borderId="9" xfId="0" applyFont="1" applyBorder="1"/>
    <xf numFmtId="164" fontId="10" fillId="0" borderId="12" xfId="0" applyNumberFormat="1" applyFont="1" applyBorder="1" applyAlignment="1">
      <alignment horizontal="center"/>
    </xf>
    <xf numFmtId="0" fontId="6" fillId="0" borderId="8" xfId="0" applyFont="1" applyBorder="1"/>
    <xf numFmtId="0" fontId="10" fillId="0" borderId="30" xfId="0" applyFont="1" applyBorder="1" applyAlignment="1">
      <alignment vertical="center"/>
    </xf>
    <xf numFmtId="0" fontId="14" fillId="0" borderId="19" xfId="0" applyFont="1" applyBorder="1"/>
    <xf numFmtId="0" fontId="10" fillId="0" borderId="9" xfId="0" applyFont="1" applyBorder="1"/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/>
    <xf numFmtId="164" fontId="10" fillId="0" borderId="3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2" fillId="0" borderId="36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49" fontId="20" fillId="0" borderId="0" xfId="2" applyNumberFormat="1" applyFont="1" applyAlignment="1">
      <alignment vertical="center"/>
    </xf>
    <xf numFmtId="0" fontId="27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22" fillId="0" borderId="1" xfId="2" applyFont="1" applyBorder="1" applyAlignment="1">
      <alignment horizontal="right" vertical="center"/>
    </xf>
    <xf numFmtId="49" fontId="20" fillId="0" borderId="0" xfId="2" applyNumberFormat="1" applyFont="1" applyAlignment="1">
      <alignment vertical="center" wrapText="1"/>
    </xf>
    <xf numFmtId="49" fontId="27" fillId="0" borderId="0" xfId="2" applyNumberFormat="1" applyFont="1" applyBorder="1" applyAlignment="1">
      <alignment vertical="center" wrapText="1"/>
    </xf>
    <xf numFmtId="49" fontId="20" fillId="0" borderId="0" xfId="2" applyNumberFormat="1" applyFont="1" applyBorder="1" applyAlignment="1">
      <alignment vertical="center" wrapText="1"/>
    </xf>
    <xf numFmtId="0" fontId="22" fillId="0" borderId="0" xfId="2" applyFont="1" applyAlignment="1">
      <alignment vertical="center"/>
    </xf>
    <xf numFmtId="0" fontId="22" fillId="0" borderId="25" xfId="2" applyFont="1" applyBorder="1" applyAlignment="1">
      <alignment horizontal="right" vertical="center"/>
    </xf>
    <xf numFmtId="0" fontId="22" fillId="0" borderId="2" xfId="2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Border="1"/>
    <xf numFmtId="164" fontId="10" fillId="0" borderId="0" xfId="0" applyNumberFormat="1" applyFont="1" applyBorder="1" applyAlignment="1"/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/>
    <xf numFmtId="165" fontId="8" fillId="0" borderId="0" xfId="0" applyNumberFormat="1" applyFont="1" applyBorder="1" applyAlignment="1"/>
    <xf numFmtId="165" fontId="11" fillId="0" borderId="0" xfId="0" applyNumberFormat="1" applyFont="1" applyBorder="1" applyAlignment="1"/>
    <xf numFmtId="0" fontId="10" fillId="0" borderId="25" xfId="0" applyFont="1" applyBorder="1" applyAlignment="1">
      <alignment horizontal="center" vertical="top"/>
    </xf>
    <xf numFmtId="49" fontId="10" fillId="0" borderId="25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12" fillId="0" borderId="0" xfId="0" applyFont="1" applyBorder="1"/>
    <xf numFmtId="0" fontId="33" fillId="0" borderId="0" xfId="0" applyFont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/>
    <xf numFmtId="49" fontId="9" fillId="0" borderId="0" xfId="0" applyNumberFormat="1" applyFont="1" applyBorder="1" applyAlignment="1">
      <alignment horizontal="right"/>
    </xf>
    <xf numFmtId="0" fontId="9" fillId="0" borderId="3" xfId="0" applyFont="1" applyBorder="1"/>
    <xf numFmtId="164" fontId="11" fillId="0" borderId="2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36" fillId="0" borderId="12" xfId="0" applyNumberFormat="1" applyFont="1" applyBorder="1"/>
    <xf numFmtId="164" fontId="36" fillId="0" borderId="19" xfId="0" applyNumberFormat="1" applyFont="1" applyBorder="1"/>
    <xf numFmtId="0" fontId="8" fillId="0" borderId="12" xfId="0" applyFont="1" applyBorder="1"/>
    <xf numFmtId="3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/>
    <xf numFmtId="0" fontId="9" fillId="0" borderId="0" xfId="0" applyFont="1" applyBorder="1"/>
    <xf numFmtId="0" fontId="32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0" xfId="0" applyNumberFormat="1" applyFont="1"/>
    <xf numFmtId="3" fontId="32" fillId="0" borderId="0" xfId="0" applyNumberFormat="1" applyFont="1" applyAlignment="1">
      <alignment horizontal="center"/>
    </xf>
    <xf numFmtId="3" fontId="41" fillId="0" borderId="12" xfId="0" applyNumberFormat="1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/>
    </xf>
    <xf numFmtId="3" fontId="40" fillId="2" borderId="12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9" fontId="8" fillId="0" borderId="49" xfId="0" applyNumberFormat="1" applyFont="1" applyBorder="1"/>
    <xf numFmtId="0" fontId="8" fillId="0" borderId="5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/>
    <xf numFmtId="9" fontId="8" fillId="0" borderId="51" xfId="0" applyNumberFormat="1" applyFont="1" applyBorder="1"/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/>
    <xf numFmtId="9" fontId="8" fillId="0" borderId="53" xfId="0" applyNumberFormat="1" applyFont="1" applyBorder="1"/>
    <xf numFmtId="49" fontId="8" fillId="0" borderId="12" xfId="0" applyNumberFormat="1" applyFont="1" applyBorder="1" applyAlignment="1">
      <alignment horizontal="center"/>
    </xf>
    <xf numFmtId="3" fontId="8" fillId="0" borderId="53" xfId="0" applyNumberFormat="1" applyFont="1" applyBorder="1"/>
    <xf numFmtId="0" fontId="9" fillId="0" borderId="54" xfId="0" applyFont="1" applyBorder="1" applyAlignment="1">
      <alignment horizontal="center"/>
    </xf>
    <xf numFmtId="164" fontId="9" fillId="0" borderId="14" xfId="0" applyNumberFormat="1" applyFont="1" applyBorder="1"/>
    <xf numFmtId="9" fontId="8" fillId="0" borderId="55" xfId="0" applyNumberFormat="1" applyFont="1" applyBorder="1"/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9" fillId="0" borderId="52" xfId="0" applyFont="1" applyBorder="1" applyAlignment="1">
      <alignment horizontal="center"/>
    </xf>
    <xf numFmtId="164" fontId="9" fillId="0" borderId="12" xfId="0" applyNumberFormat="1" applyFont="1" applyBorder="1"/>
    <xf numFmtId="9" fontId="8" fillId="0" borderId="56" xfId="0" applyNumberFormat="1" applyFont="1" applyBorder="1"/>
    <xf numFmtId="0" fontId="0" fillId="0" borderId="0" xfId="0" applyFont="1" applyBorder="1"/>
    <xf numFmtId="49" fontId="8" fillId="0" borderId="13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9" fontId="8" fillId="0" borderId="58" xfId="0" applyNumberFormat="1" applyFont="1" applyBorder="1"/>
    <xf numFmtId="0" fontId="8" fillId="0" borderId="59" xfId="0" applyFont="1" applyBorder="1"/>
    <xf numFmtId="164" fontId="9" fillId="0" borderId="60" xfId="0" applyNumberFormat="1" applyFont="1" applyBorder="1"/>
    <xf numFmtId="164" fontId="9" fillId="0" borderId="48" xfId="0" applyNumberFormat="1" applyFont="1" applyBorder="1"/>
    <xf numFmtId="0" fontId="8" fillId="0" borderId="61" xfId="0" applyFont="1" applyBorder="1" applyAlignment="1">
      <alignment horizontal="center"/>
    </xf>
    <xf numFmtId="164" fontId="8" fillId="0" borderId="8" xfId="0" applyNumberFormat="1" applyFont="1" applyBorder="1"/>
    <xf numFmtId="9" fontId="8" fillId="0" borderId="62" xfId="0" applyNumberFormat="1" applyFont="1" applyBorder="1"/>
    <xf numFmtId="3" fontId="8" fillId="0" borderId="11" xfId="0" applyNumberFormat="1" applyFont="1" applyBorder="1"/>
    <xf numFmtId="9" fontId="8" fillId="0" borderId="64" xfId="0" applyNumberFormat="1" applyFont="1" applyBorder="1"/>
    <xf numFmtId="0" fontId="0" fillId="0" borderId="12" xfId="0" applyFont="1" applyBorder="1"/>
    <xf numFmtId="3" fontId="0" fillId="0" borderId="12" xfId="0" applyNumberFormat="1" applyFont="1" applyBorder="1"/>
    <xf numFmtId="3" fontId="0" fillId="0" borderId="5" xfId="0" applyNumberFormat="1" applyFont="1" applyBorder="1"/>
    <xf numFmtId="0" fontId="0" fillId="0" borderId="0" xfId="0" applyFont="1"/>
    <xf numFmtId="0" fontId="25" fillId="0" borderId="1" xfId="0" applyFont="1" applyBorder="1"/>
    <xf numFmtId="1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 wrapText="1"/>
    </xf>
    <xf numFmtId="167" fontId="10" fillId="0" borderId="12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67" fontId="11" fillId="0" borderId="14" xfId="0" applyNumberFormat="1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44" fillId="0" borderId="0" xfId="0" applyFont="1" applyAlignment="1"/>
    <xf numFmtId="0" fontId="0" fillId="0" borderId="0" xfId="0" applyFont="1" applyAlignment="1"/>
    <xf numFmtId="0" fontId="44" fillId="0" borderId="0" xfId="0" applyFont="1"/>
    <xf numFmtId="0" fontId="45" fillId="0" borderId="0" xfId="0" applyFont="1"/>
    <xf numFmtId="0" fontId="0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168" fontId="46" fillId="0" borderId="12" xfId="0" applyNumberFormat="1" applyFont="1" applyBorder="1" applyAlignment="1">
      <alignment vertical="center"/>
    </xf>
    <xf numFmtId="168" fontId="46" fillId="0" borderId="9" xfId="0" applyNumberFormat="1" applyFont="1" applyBorder="1" applyAlignment="1">
      <alignment vertical="center"/>
    </xf>
    <xf numFmtId="168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/>
    </xf>
    <xf numFmtId="168" fontId="46" fillId="0" borderId="5" xfId="0" applyNumberFormat="1" applyFont="1" applyBorder="1" applyAlignment="1">
      <alignment vertical="center"/>
    </xf>
    <xf numFmtId="168" fontId="46" fillId="0" borderId="8" xfId="0" applyNumberFormat="1" applyFont="1" applyBorder="1" applyAlignment="1">
      <alignment vertical="center"/>
    </xf>
    <xf numFmtId="168" fontId="47" fillId="0" borderId="9" xfId="0" applyNumberFormat="1" applyFont="1" applyBorder="1" applyAlignment="1">
      <alignment vertical="center"/>
    </xf>
    <xf numFmtId="168" fontId="47" fillId="0" borderId="11" xfId="0" applyNumberFormat="1" applyFont="1" applyBorder="1" applyAlignment="1">
      <alignment vertical="center"/>
    </xf>
    <xf numFmtId="168" fontId="48" fillId="0" borderId="9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3" fontId="46" fillId="0" borderId="5" xfId="0" applyNumberFormat="1" applyFont="1" applyBorder="1" applyAlignment="1">
      <alignment horizontal="center" vertical="center"/>
    </xf>
    <xf numFmtId="168" fontId="47" fillId="0" borderId="15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horizontal="left" vertical="center"/>
    </xf>
    <xf numFmtId="168" fontId="48" fillId="0" borderId="43" xfId="0" applyNumberFormat="1" applyFont="1" applyBorder="1" applyAlignment="1">
      <alignment vertical="center"/>
    </xf>
    <xf numFmtId="168" fontId="47" fillId="0" borderId="19" xfId="0" applyNumberFormat="1" applyFont="1" applyBorder="1" applyAlignment="1">
      <alignment vertical="center"/>
    </xf>
    <xf numFmtId="3" fontId="47" fillId="0" borderId="19" xfId="0" applyNumberFormat="1" applyFont="1" applyBorder="1" applyAlignment="1">
      <alignment horizontal="left" vertical="center"/>
    </xf>
    <xf numFmtId="3" fontId="48" fillId="0" borderId="19" xfId="0" applyNumberFormat="1" applyFont="1" applyBorder="1" applyAlignment="1">
      <alignment vertical="center"/>
    </xf>
    <xf numFmtId="0" fontId="0" fillId="0" borderId="10" xfId="0" applyFont="1" applyBorder="1"/>
    <xf numFmtId="168" fontId="50" fillId="0" borderId="9" xfId="0" applyNumberFormat="1" applyFont="1" applyBorder="1" applyAlignment="1">
      <alignment vertical="center"/>
    </xf>
    <xf numFmtId="168" fontId="50" fillId="0" borderId="5" xfId="0" applyNumberFormat="1" applyFont="1" applyBorder="1" applyAlignment="1">
      <alignment vertical="center"/>
    </xf>
    <xf numFmtId="168" fontId="50" fillId="0" borderId="12" xfId="0" applyNumberFormat="1" applyFont="1" applyBorder="1" applyAlignment="1">
      <alignment vertical="center"/>
    </xf>
    <xf numFmtId="49" fontId="51" fillId="0" borderId="12" xfId="0" applyNumberFormat="1" applyFont="1" applyBorder="1"/>
    <xf numFmtId="168" fontId="46" fillId="0" borderId="14" xfId="0" applyNumberFormat="1" applyFont="1" applyBorder="1" applyAlignment="1">
      <alignment vertical="center"/>
    </xf>
    <xf numFmtId="168" fontId="48" fillId="0" borderId="22" xfId="0" applyNumberFormat="1" applyFont="1" applyBorder="1" applyAlignment="1">
      <alignment vertical="center"/>
    </xf>
    <xf numFmtId="3" fontId="0" fillId="0" borderId="21" xfId="0" applyNumberFormat="1" applyFont="1" applyBorder="1"/>
    <xf numFmtId="0" fontId="32" fillId="0" borderId="0" xfId="0" applyFont="1" applyAlignment="1">
      <alignment horizontal="center"/>
    </xf>
    <xf numFmtId="0" fontId="28" fillId="0" borderId="0" xfId="2" applyFont="1" applyBorder="1" applyAlignment="1">
      <alignment horizontal="left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37" fillId="0" borderId="30" xfId="0" applyNumberFormat="1" applyFont="1" applyBorder="1"/>
    <xf numFmtId="1" fontId="20" fillId="0" borderId="0" xfId="2" applyNumberFormat="1" applyFont="1" applyAlignment="1">
      <alignment horizontal="center" vertical="center"/>
    </xf>
    <xf numFmtId="1" fontId="22" fillId="0" borderId="36" xfId="2" applyNumberFormat="1" applyFont="1" applyBorder="1" applyAlignment="1">
      <alignment horizontal="center" vertical="center"/>
    </xf>
    <xf numFmtId="1" fontId="22" fillId="0" borderId="0" xfId="2" applyNumberFormat="1" applyFont="1" applyBorder="1" applyAlignment="1">
      <alignment horizontal="center" vertical="center"/>
    </xf>
    <xf numFmtId="1" fontId="20" fillId="0" borderId="0" xfId="2" applyNumberFormat="1" applyFont="1" applyBorder="1" applyAlignment="1">
      <alignment horizontal="center" vertical="center"/>
    </xf>
    <xf numFmtId="1" fontId="20" fillId="0" borderId="0" xfId="2" quotePrefix="1" applyNumberFormat="1" applyFont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1" fontId="20" fillId="0" borderId="0" xfId="2" quotePrefix="1" applyNumberFormat="1" applyFont="1" applyBorder="1" applyAlignment="1">
      <alignment horizontal="center" vertical="center"/>
    </xf>
    <xf numFmtId="1" fontId="20" fillId="0" borderId="2" xfId="2" applyNumberFormat="1" applyFont="1" applyBorder="1" applyAlignment="1">
      <alignment horizontal="center" vertical="center"/>
    </xf>
    <xf numFmtId="1" fontId="20" fillId="0" borderId="25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2" fillId="0" borderId="33" xfId="0" applyFont="1" applyBorder="1"/>
    <xf numFmtId="1" fontId="10" fillId="0" borderId="9" xfId="0" applyNumberFormat="1" applyFont="1" applyBorder="1"/>
    <xf numFmtId="1" fontId="10" fillId="0" borderId="9" xfId="0" applyNumberFormat="1" applyFont="1" applyBorder="1" applyAlignment="1">
      <alignment horizontal="right"/>
    </xf>
    <xf numFmtId="1" fontId="10" fillId="0" borderId="29" xfId="0" applyNumberFormat="1" applyFont="1" applyBorder="1" applyAlignment="1">
      <alignment horizontal="right"/>
    </xf>
    <xf numFmtId="1" fontId="10" fillId="0" borderId="8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26" xfId="0" applyNumberFormat="1" applyFont="1" applyBorder="1" applyAlignment="1">
      <alignment horizontal="right"/>
    </xf>
    <xf numFmtId="1" fontId="8" fillId="0" borderId="0" xfId="0" applyNumberFormat="1" applyFont="1"/>
    <xf numFmtId="1" fontId="9" fillId="0" borderId="0" xfId="0" applyNumberFormat="1" applyFont="1" applyAlignment="1">
      <alignment horizontal="right"/>
    </xf>
    <xf numFmtId="1" fontId="8" fillId="0" borderId="0" xfId="0" applyNumberFormat="1" applyFont="1" applyBorder="1"/>
    <xf numFmtId="1" fontId="9" fillId="0" borderId="0" xfId="0" applyNumberFormat="1" applyFont="1"/>
    <xf numFmtId="1" fontId="9" fillId="0" borderId="0" xfId="0" applyNumberFormat="1" applyFont="1" applyBorder="1"/>
    <xf numFmtId="1" fontId="9" fillId="0" borderId="2" xfId="0" applyNumberFormat="1" applyFont="1" applyBorder="1"/>
    <xf numFmtId="1" fontId="0" fillId="0" borderId="0" xfId="0" applyNumberFormat="1"/>
    <xf numFmtId="0" fontId="20" fillId="0" borderId="0" xfId="2" applyFont="1" applyBorder="1" applyAlignment="1">
      <alignment horizontal="center"/>
    </xf>
    <xf numFmtId="0" fontId="2" fillId="0" borderId="41" xfId="0" applyFont="1" applyBorder="1"/>
    <xf numFmtId="0" fontId="25" fillId="0" borderId="77" xfId="0" applyFont="1" applyBorder="1"/>
    <xf numFmtId="0" fontId="2" fillId="0" borderId="72" xfId="0" applyFont="1" applyBorder="1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 applyFont="1"/>
    <xf numFmtId="3" fontId="9" fillId="0" borderId="0" xfId="0" applyNumberFormat="1" applyFont="1" applyBorder="1"/>
    <xf numFmtId="3" fontId="0" fillId="0" borderId="0" xfId="0" applyNumberFormat="1"/>
    <xf numFmtId="1" fontId="28" fillId="0" borderId="0" xfId="2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164" fontId="10" fillId="0" borderId="12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164" fontId="11" fillId="0" borderId="24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11" fillId="0" borderId="3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/>
    <xf numFmtId="164" fontId="2" fillId="0" borderId="1" xfId="0" applyNumberFormat="1" applyFont="1" applyBorder="1"/>
    <xf numFmtId="164" fontId="3" fillId="0" borderId="0" xfId="0" applyNumberFormat="1" applyFont="1"/>
    <xf numFmtId="164" fontId="5" fillId="0" borderId="0" xfId="0" applyNumberFormat="1" applyFont="1"/>
    <xf numFmtId="164" fontId="10" fillId="0" borderId="1" xfId="0" applyNumberFormat="1" applyFont="1" applyBorder="1"/>
    <xf numFmtId="164" fontId="10" fillId="0" borderId="0" xfId="0" applyNumberFormat="1" applyFont="1" applyBorder="1"/>
    <xf numFmtId="164" fontId="3" fillId="0" borderId="2" xfId="0" applyNumberFormat="1" applyFont="1" applyBorder="1"/>
    <xf numFmtId="164" fontId="11" fillId="0" borderId="3" xfId="0" applyNumberFormat="1" applyFont="1" applyBorder="1"/>
    <xf numFmtId="0" fontId="0" fillId="0" borderId="0" xfId="0" applyBorder="1"/>
    <xf numFmtId="164" fontId="9" fillId="0" borderId="0" xfId="0" applyNumberFormat="1" applyFont="1"/>
    <xf numFmtId="164" fontId="0" fillId="0" borderId="42" xfId="0" applyNumberFormat="1" applyBorder="1"/>
    <xf numFmtId="164" fontId="0" fillId="0" borderId="73" xfId="0" applyNumberFormat="1" applyBorder="1"/>
    <xf numFmtId="164" fontId="25" fillId="0" borderId="78" xfId="0" applyNumberFormat="1" applyFont="1" applyBorder="1"/>
    <xf numFmtId="164" fontId="39" fillId="0" borderId="12" xfId="0" applyNumberFormat="1" applyFont="1" applyFill="1" applyBorder="1"/>
    <xf numFmtId="164" fontId="39" fillId="0" borderId="12" xfId="0" applyNumberFormat="1" applyFont="1" applyFill="1" applyBorder="1" applyAlignment="1">
      <alignment vertical="center" wrapText="1"/>
    </xf>
    <xf numFmtId="164" fontId="39" fillId="0" borderId="12" xfId="0" applyNumberFormat="1" applyFont="1" applyFill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39" fillId="0" borderId="12" xfId="0" applyNumberFormat="1" applyFont="1" applyBorder="1"/>
    <xf numFmtId="164" fontId="39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vertical="center" wrapText="1"/>
    </xf>
    <xf numFmtId="164" fontId="40" fillId="0" borderId="12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40" fillId="0" borderId="12" xfId="0" applyNumberFormat="1" applyFont="1" applyFill="1" applyBorder="1"/>
    <xf numFmtId="164" fontId="40" fillId="2" borderId="12" xfId="0" applyNumberFormat="1" applyFont="1" applyFill="1" applyBorder="1"/>
    <xf numFmtId="164" fontId="10" fillId="0" borderId="12" xfId="0" applyNumberFormat="1" applyFont="1" applyBorder="1"/>
    <xf numFmtId="164" fontId="10" fillId="0" borderId="26" xfId="0" applyNumberFormat="1" applyFont="1" applyBorder="1"/>
    <xf numFmtId="164" fontId="10" fillId="0" borderId="8" xfId="0" applyNumberFormat="1" applyFont="1" applyBorder="1"/>
    <xf numFmtId="164" fontId="10" fillId="0" borderId="19" xfId="0" applyNumberFormat="1" applyFont="1" applyBorder="1"/>
    <xf numFmtId="164" fontId="10" fillId="0" borderId="28" xfId="0" applyNumberFormat="1" applyFont="1" applyBorder="1"/>
    <xf numFmtId="164" fontId="10" fillId="0" borderId="9" xfId="0" applyNumberFormat="1" applyFont="1" applyBorder="1"/>
    <xf numFmtId="164" fontId="10" fillId="0" borderId="29" xfId="0" applyNumberFormat="1" applyFont="1" applyBorder="1"/>
    <xf numFmtId="164" fontId="10" fillId="0" borderId="22" xfId="0" applyNumberFormat="1" applyFont="1" applyBorder="1"/>
    <xf numFmtId="164" fontId="10" fillId="0" borderId="10" xfId="0" applyNumberFormat="1" applyFont="1" applyBorder="1"/>
    <xf numFmtId="164" fontId="11" fillId="0" borderId="19" xfId="0" applyNumberFormat="1" applyFont="1" applyBorder="1"/>
    <xf numFmtId="164" fontId="11" fillId="0" borderId="28" xfId="0" applyNumberFormat="1" applyFont="1" applyBorder="1"/>
    <xf numFmtId="164" fontId="20" fillId="0" borderId="0" xfId="2" applyNumberFormat="1" applyFont="1" applyBorder="1" applyAlignment="1">
      <alignment horizontal="right"/>
    </xf>
    <xf numFmtId="164" fontId="29" fillId="0" borderId="1" xfId="2" applyNumberFormat="1" applyFont="1" applyBorder="1" applyAlignment="1">
      <alignment horizontal="right"/>
    </xf>
    <xf numFmtId="164" fontId="20" fillId="0" borderId="0" xfId="2" applyNumberFormat="1" applyFont="1" applyBorder="1"/>
    <xf numFmtId="164" fontId="20" fillId="0" borderId="0" xfId="2" applyNumberFormat="1" applyFont="1" applyAlignment="1">
      <alignment horizontal="right"/>
    </xf>
    <xf numFmtId="164" fontId="20" fillId="0" borderId="1" xfId="2" applyNumberFormat="1" applyFont="1" applyBorder="1" applyAlignment="1">
      <alignment horizontal="right"/>
    </xf>
    <xf numFmtId="164" fontId="20" fillId="0" borderId="1" xfId="2" applyNumberFormat="1" applyFont="1" applyBorder="1"/>
    <xf numFmtId="164" fontId="29" fillId="0" borderId="0" xfId="2" applyNumberFormat="1" applyFont="1" applyBorder="1"/>
    <xf numFmtId="164" fontId="22" fillId="0" borderId="0" xfId="2" applyNumberFormat="1" applyFont="1" applyBorder="1" applyAlignment="1">
      <alignment horizontal="right"/>
    </xf>
    <xf numFmtId="164" fontId="22" fillId="0" borderId="0" xfId="2" applyNumberFormat="1" applyFont="1" applyBorder="1"/>
    <xf numFmtId="164" fontId="20" fillId="0" borderId="0" xfId="2" applyNumberFormat="1" applyFont="1" applyBorder="1" applyAlignment="1"/>
    <xf numFmtId="164" fontId="20" fillId="0" borderId="1" xfId="2" applyNumberFormat="1" applyFont="1" applyBorder="1" applyAlignment="1"/>
    <xf numFmtId="164" fontId="22" fillId="0" borderId="0" xfId="2" applyNumberFormat="1" applyFont="1" applyBorder="1" applyAlignment="1"/>
    <xf numFmtId="164" fontId="22" fillId="0" borderId="1" xfId="2" applyNumberFormat="1" applyFont="1" applyBorder="1" applyAlignment="1"/>
    <xf numFmtId="164" fontId="28" fillId="0" borderId="0" xfId="2" applyNumberFormat="1" applyFont="1" applyBorder="1" applyAlignment="1">
      <alignment horizontal="left"/>
    </xf>
    <xf numFmtId="164" fontId="30" fillId="0" borderId="0" xfId="2" applyNumberFormat="1" applyFont="1" applyBorder="1"/>
    <xf numFmtId="164" fontId="31" fillId="0" borderId="25" xfId="2" applyNumberFormat="1" applyFont="1" applyBorder="1"/>
    <xf numFmtId="164" fontId="20" fillId="0" borderId="0" xfId="2" applyNumberFormat="1" applyFont="1" applyAlignment="1">
      <alignment vertical="center"/>
    </xf>
    <xf numFmtId="164" fontId="20" fillId="0" borderId="0" xfId="2" applyNumberFormat="1" applyFont="1" applyAlignment="1">
      <alignment horizontal="right" vertical="center"/>
    </xf>
    <xf numFmtId="164" fontId="20" fillId="0" borderId="1" xfId="2" applyNumberFormat="1" applyFont="1" applyBorder="1" applyAlignment="1">
      <alignment horizontal="right" vertical="center"/>
    </xf>
    <xf numFmtId="164" fontId="22" fillId="0" borderId="1" xfId="2" applyNumberFormat="1" applyFont="1" applyBorder="1" applyAlignment="1">
      <alignment vertical="center"/>
    </xf>
    <xf numFmtId="164" fontId="20" fillId="0" borderId="0" xfId="2" applyNumberFormat="1" applyFont="1" applyBorder="1" applyAlignment="1">
      <alignment vertical="center"/>
    </xf>
    <xf numFmtId="164" fontId="22" fillId="0" borderId="1" xfId="2" applyNumberFormat="1" applyFont="1" applyBorder="1" applyAlignment="1">
      <alignment horizontal="right" vertical="center"/>
    </xf>
    <xf numFmtId="164" fontId="20" fillId="0" borderId="1" xfId="2" applyNumberFormat="1" applyFont="1" applyBorder="1" applyAlignment="1">
      <alignment vertical="center"/>
    </xf>
    <xf numFmtId="164" fontId="22" fillId="0" borderId="0" xfId="2" applyNumberFormat="1" applyFont="1" applyBorder="1" applyAlignment="1">
      <alignment horizontal="right" vertical="center"/>
    </xf>
    <xf numFmtId="164" fontId="22" fillId="0" borderId="0" xfId="2" applyNumberFormat="1" applyFont="1" applyBorder="1" applyAlignment="1">
      <alignment vertical="center"/>
    </xf>
    <xf numFmtId="164" fontId="22" fillId="0" borderId="2" xfId="2" applyNumberFormat="1" applyFont="1" applyBorder="1" applyAlignment="1">
      <alignment horizontal="right" vertical="center"/>
    </xf>
    <xf numFmtId="164" fontId="22" fillId="0" borderId="37" xfId="2" applyNumberFormat="1" applyFont="1" applyBorder="1" applyAlignment="1">
      <alignment horizontal="right" vertical="center"/>
    </xf>
    <xf numFmtId="164" fontId="22" fillId="0" borderId="25" xfId="2" applyNumberFormat="1" applyFont="1" applyBorder="1" applyAlignment="1">
      <alignment horizontal="right" vertical="center"/>
    </xf>
    <xf numFmtId="164" fontId="10" fillId="0" borderId="25" xfId="0" applyNumberFormat="1" applyFont="1" applyBorder="1" applyAlignment="1"/>
    <xf numFmtId="49" fontId="8" fillId="0" borderId="1" xfId="0" applyNumberFormat="1" applyFont="1" applyBorder="1"/>
    <xf numFmtId="0" fontId="55" fillId="0" borderId="0" xfId="0" applyFont="1"/>
    <xf numFmtId="165" fontId="55" fillId="0" borderId="0" xfId="0" applyNumberFormat="1" applyFont="1"/>
    <xf numFmtId="0" fontId="55" fillId="0" borderId="0" xfId="0" applyFont="1" applyAlignment="1">
      <alignment horizontal="right"/>
    </xf>
    <xf numFmtId="3" fontId="57" fillId="0" borderId="0" xfId="3" applyNumberFormat="1" applyFont="1"/>
    <xf numFmtId="3" fontId="56" fillId="2" borderId="30" xfId="0" applyNumberFormat="1" applyFont="1" applyFill="1" applyBorder="1" applyAlignment="1">
      <alignment horizontal="center"/>
    </xf>
    <xf numFmtId="3" fontId="56" fillId="0" borderId="33" xfId="0" applyNumberFormat="1" applyFont="1" applyBorder="1" applyAlignment="1">
      <alignment horizontal="center"/>
    </xf>
    <xf numFmtId="3" fontId="57" fillId="0" borderId="66" xfId="3" applyNumberFormat="1" applyFont="1" applyBorder="1" applyAlignment="1">
      <alignment horizontal="center" wrapText="1"/>
    </xf>
    <xf numFmtId="3" fontId="57" fillId="0" borderId="69" xfId="3" applyNumberFormat="1" applyFont="1" applyBorder="1" applyAlignment="1">
      <alignment horizontal="center" vertical="center" wrapText="1"/>
    </xf>
    <xf numFmtId="3" fontId="57" fillId="0" borderId="66" xfId="3" applyNumberFormat="1" applyFont="1" applyBorder="1" applyAlignment="1">
      <alignment horizontal="center"/>
    </xf>
    <xf numFmtId="3" fontId="57" fillId="3" borderId="69" xfId="3" applyNumberFormat="1" applyFont="1" applyFill="1" applyBorder="1"/>
    <xf numFmtId="3" fontId="57" fillId="0" borderId="41" xfId="3" applyNumberFormat="1" applyFont="1" applyBorder="1" applyAlignment="1">
      <alignment horizontal="center"/>
    </xf>
    <xf numFmtId="3" fontId="57" fillId="3" borderId="34" xfId="3" applyNumberFormat="1" applyFont="1" applyFill="1" applyBorder="1"/>
    <xf numFmtId="3" fontId="57" fillId="0" borderId="44" xfId="3" applyNumberFormat="1" applyFont="1" applyBorder="1" applyAlignment="1">
      <alignment horizontal="center"/>
    </xf>
    <xf numFmtId="3" fontId="56" fillId="0" borderId="30" xfId="3" applyNumberFormat="1" applyFont="1" applyBorder="1" applyAlignment="1">
      <alignment horizontal="center"/>
    </xf>
    <xf numFmtId="3" fontId="56" fillId="0" borderId="33" xfId="3" applyNumberFormat="1" applyFont="1" applyBorder="1"/>
    <xf numFmtId="3" fontId="58" fillId="0" borderId="0" xfId="3" applyNumberFormat="1" applyFont="1"/>
    <xf numFmtId="0" fontId="59" fillId="0" borderId="0" xfId="0" applyFont="1"/>
    <xf numFmtId="0" fontId="54" fillId="0" borderId="0" xfId="0" applyFont="1"/>
    <xf numFmtId="0" fontId="60" fillId="0" borderId="0" xfId="0" applyFont="1"/>
    <xf numFmtId="49" fontId="60" fillId="0" borderId="0" xfId="0" applyNumberFormat="1" applyFont="1"/>
    <xf numFmtId="0" fontId="57" fillId="0" borderId="0" xfId="0" applyFont="1" applyAlignment="1">
      <alignment horizontal="right"/>
    </xf>
    <xf numFmtId="165" fontId="57" fillId="0" borderId="0" xfId="0" applyNumberFormat="1" applyFont="1"/>
    <xf numFmtId="165" fontId="57" fillId="0" borderId="1" xfId="0" applyNumberFormat="1" applyFont="1" applyBorder="1"/>
    <xf numFmtId="165" fontId="61" fillId="0" borderId="1" xfId="0" applyNumberFormat="1" applyFont="1" applyBorder="1"/>
    <xf numFmtId="0" fontId="54" fillId="0" borderId="1" xfId="0" applyFont="1" applyBorder="1"/>
    <xf numFmtId="165" fontId="54" fillId="0" borderId="0" xfId="0" applyNumberFormat="1" applyFont="1"/>
    <xf numFmtId="164" fontId="8" fillId="0" borderId="0" xfId="0" applyNumberFormat="1" applyFont="1" applyBorder="1"/>
    <xf numFmtId="164" fontId="9" fillId="0" borderId="3" xfId="0" applyNumberFormat="1" applyFont="1" applyBorder="1"/>
    <xf numFmtId="164" fontId="8" fillId="0" borderId="0" xfId="0" applyNumberFormat="1" applyFont="1"/>
    <xf numFmtId="164" fontId="8" fillId="0" borderId="1" xfId="0" applyNumberFormat="1" applyFont="1" applyBorder="1"/>
    <xf numFmtId="164" fontId="9" fillId="0" borderId="4" xfId="0" applyNumberFormat="1" applyFont="1" applyBorder="1"/>
    <xf numFmtId="0" fontId="20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9" fontId="40" fillId="2" borderId="12" xfId="0" applyNumberFormat="1" applyFont="1" applyFill="1" applyBorder="1"/>
    <xf numFmtId="0" fontId="62" fillId="0" borderId="0" xfId="0" applyFont="1" applyBorder="1" applyAlignment="1">
      <alignment vertical="center" wrapText="1"/>
    </xf>
    <xf numFmtId="164" fontId="0" fillId="0" borderId="0" xfId="0" applyNumberFormat="1" applyFont="1"/>
    <xf numFmtId="9" fontId="0" fillId="0" borderId="0" xfId="0" applyNumberFormat="1" applyFont="1"/>
    <xf numFmtId="9" fontId="10" fillId="0" borderId="0" xfId="0" applyNumberFormat="1" applyFont="1"/>
    <xf numFmtId="164" fontId="0" fillId="0" borderId="1" xfId="0" applyNumberFormat="1" applyFont="1" applyBorder="1"/>
    <xf numFmtId="0" fontId="0" fillId="0" borderId="1" xfId="0" applyFont="1" applyBorder="1"/>
    <xf numFmtId="9" fontId="0" fillId="0" borderId="1" xfId="0" applyNumberFormat="1" applyFont="1" applyBorder="1"/>
    <xf numFmtId="9" fontId="10" fillId="0" borderId="0" xfId="0" quotePrefix="1" applyNumberFormat="1" applyFont="1"/>
    <xf numFmtId="0" fontId="25" fillId="0" borderId="0" xfId="0" applyFont="1"/>
    <xf numFmtId="0" fontId="10" fillId="0" borderId="0" xfId="0" applyFont="1" applyBorder="1"/>
    <xf numFmtId="164" fontId="35" fillId="0" borderId="4" xfId="0" applyNumberFormat="1" applyFont="1" applyBorder="1"/>
    <xf numFmtId="164" fontId="32" fillId="0" borderId="25" xfId="0" applyNumberFormat="1" applyFont="1" applyBorder="1"/>
    <xf numFmtId="164" fontId="8" fillId="0" borderId="0" xfId="0" applyNumberFormat="1" applyFont="1" applyAlignment="1">
      <alignment horizontal="center"/>
    </xf>
    <xf numFmtId="0" fontId="20" fillId="0" borderId="0" xfId="2" applyNumberFormat="1" applyFont="1" applyAlignment="1" applyProtection="1">
      <alignment vertical="center" wrapText="1"/>
      <protection locked="0"/>
    </xf>
    <xf numFmtId="0" fontId="0" fillId="0" borderId="12" xfId="0" applyBorder="1"/>
    <xf numFmtId="0" fontId="10" fillId="0" borderId="12" xfId="0" applyFont="1" applyBorder="1" applyAlignment="1">
      <alignment horizontal="center"/>
    </xf>
    <xf numFmtId="164" fontId="62" fillId="0" borderId="12" xfId="0" applyNumberFormat="1" applyFont="1" applyBorder="1"/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Border="1"/>
    <xf numFmtId="164" fontId="9" fillId="0" borderId="43" xfId="0" applyNumberFormat="1" applyFont="1" applyBorder="1"/>
    <xf numFmtId="164" fontId="8" fillId="0" borderId="36" xfId="0" applyNumberFormat="1" applyFont="1" applyBorder="1"/>
    <xf numFmtId="164" fontId="0" fillId="0" borderId="0" xfId="0" applyNumberFormat="1" applyFont="1" applyBorder="1"/>
    <xf numFmtId="164" fontId="9" fillId="0" borderId="5" xfId="0" applyNumberFormat="1" applyFont="1" applyBorder="1"/>
    <xf numFmtId="1" fontId="0" fillId="0" borderId="12" xfId="0" applyNumberFormat="1" applyFont="1" applyBorder="1"/>
    <xf numFmtId="164" fontId="10" fillId="0" borderId="41" xfId="0" applyNumberFormat="1" applyFont="1" applyBorder="1" applyAlignment="1">
      <alignment horizontal="center" vertical="center" wrapText="1"/>
    </xf>
    <xf numFmtId="164" fontId="36" fillId="0" borderId="41" xfId="0" applyNumberFormat="1" applyFont="1" applyBorder="1"/>
    <xf numFmtId="164" fontId="10" fillId="0" borderId="41" xfId="0" applyNumberFormat="1" applyFont="1" applyBorder="1" applyAlignment="1">
      <alignment horizontal="center"/>
    </xf>
    <xf numFmtId="164" fontId="36" fillId="0" borderId="79" xfId="0" applyNumberFormat="1" applyFont="1" applyBorder="1" applyAlignment="1">
      <alignment horizontal="left"/>
    </xf>
    <xf numFmtId="3" fontId="37" fillId="0" borderId="80" xfId="0" applyNumberFormat="1" applyFont="1" applyBorder="1"/>
    <xf numFmtId="164" fontId="10" fillId="0" borderId="81" xfId="0" applyNumberFormat="1" applyFont="1" applyBorder="1" applyAlignment="1">
      <alignment horizontal="center"/>
    </xf>
    <xf numFmtId="0" fontId="8" fillId="0" borderId="5" xfId="0" applyFont="1" applyBorder="1"/>
    <xf numFmtId="164" fontId="10" fillId="0" borderId="5" xfId="0" applyNumberFormat="1" applyFont="1" applyBorder="1"/>
    <xf numFmtId="164" fontId="0" fillId="0" borderId="0" xfId="0" applyNumberFormat="1"/>
    <xf numFmtId="0" fontId="63" fillId="0" borderId="0" xfId="0" applyFont="1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164" fontId="0" fillId="0" borderId="0" xfId="0" applyNumberFormat="1" applyBorder="1"/>
    <xf numFmtId="164" fontId="8" fillId="0" borderId="2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164" fontId="0" fillId="0" borderId="33" xfId="0" applyNumberFormat="1" applyBorder="1"/>
    <xf numFmtId="164" fontId="64" fillId="0" borderId="1" xfId="0" applyNumberFormat="1" applyFont="1" applyBorder="1"/>
    <xf numFmtId="0" fontId="64" fillId="0" borderId="1" xfId="0" applyFont="1" applyBorder="1"/>
    <xf numFmtId="3" fontId="0" fillId="0" borderId="33" xfId="0" applyNumberFormat="1" applyBorder="1"/>
    <xf numFmtId="0" fontId="0" fillId="0" borderId="2" xfId="0" applyBorder="1"/>
    <xf numFmtId="0" fontId="63" fillId="0" borderId="2" xfId="0" applyFont="1" applyBorder="1"/>
    <xf numFmtId="164" fontId="0" fillId="0" borderId="2" xfId="0" applyNumberFormat="1" applyBorder="1"/>
    <xf numFmtId="0" fontId="65" fillId="0" borderId="0" xfId="0" applyFont="1"/>
    <xf numFmtId="0" fontId="66" fillId="0" borderId="0" xfId="0" applyFont="1"/>
    <xf numFmtId="0" fontId="49" fillId="0" borderId="0" xfId="0" applyFont="1"/>
    <xf numFmtId="0" fontId="0" fillId="0" borderId="18" xfId="0" applyFont="1" applyBorder="1"/>
    <xf numFmtId="0" fontId="0" fillId="0" borderId="65" xfId="0" applyFont="1" applyBorder="1"/>
    <xf numFmtId="3" fontId="0" fillId="0" borderId="19" xfId="0" applyNumberFormat="1" applyFont="1" applyBorder="1"/>
    <xf numFmtId="0" fontId="0" fillId="0" borderId="19" xfId="0" applyFont="1" applyBorder="1"/>
    <xf numFmtId="0" fontId="66" fillId="0" borderId="19" xfId="0" applyFont="1" applyBorder="1"/>
    <xf numFmtId="3" fontId="66" fillId="0" borderId="19" xfId="0" applyNumberFormat="1" applyFont="1" applyBorder="1"/>
    <xf numFmtId="3" fontId="0" fillId="0" borderId="12" xfId="0" applyNumberFormat="1" applyBorder="1"/>
    <xf numFmtId="0" fontId="46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26" xfId="0" applyNumberFormat="1" applyFont="1" applyBorder="1"/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0" fillId="0" borderId="0" xfId="2" applyNumberFormat="1" applyFont="1" applyAlignment="1">
      <alignment vertical="center"/>
    </xf>
    <xf numFmtId="164" fontId="20" fillId="0" borderId="0" xfId="2" applyNumberFormat="1" applyFont="1" applyBorder="1" applyAlignment="1">
      <alignment horizontal="right" vertical="center"/>
    </xf>
    <xf numFmtId="164" fontId="53" fillId="0" borderId="0" xfId="0" applyNumberFormat="1" applyFont="1" applyBorder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Border="1"/>
    <xf numFmtId="164" fontId="11" fillId="0" borderId="4" xfId="0" applyNumberFormat="1" applyFont="1" applyBorder="1"/>
    <xf numFmtId="164" fontId="11" fillId="0" borderId="0" xfId="0" applyNumberFormat="1" applyFont="1"/>
    <xf numFmtId="169" fontId="2" fillId="0" borderId="0" xfId="0" applyNumberFormat="1" applyFont="1"/>
    <xf numFmtId="170" fontId="3" fillId="0" borderId="0" xfId="0" applyNumberFormat="1" applyFont="1" applyBorder="1"/>
    <xf numFmtId="0" fontId="25" fillId="0" borderId="0" xfId="0" applyFont="1" applyFill="1" applyBorder="1" applyAlignment="1">
      <alignment horizontal="center" vertical="center" wrapText="1"/>
    </xf>
    <xf numFmtId="169" fontId="10" fillId="0" borderId="12" xfId="0" applyNumberFormat="1" applyFont="1" applyBorder="1"/>
    <xf numFmtId="169" fontId="10" fillId="0" borderId="5" xfId="0" applyNumberFormat="1" applyFont="1" applyBorder="1"/>
    <xf numFmtId="169" fontId="9" fillId="0" borderId="0" xfId="0" applyNumberFormat="1" applyFont="1"/>
    <xf numFmtId="3" fontId="10" fillId="0" borderId="8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10" fillId="0" borderId="15" xfId="0" applyNumberFormat="1" applyFont="1" applyBorder="1"/>
    <xf numFmtId="169" fontId="10" fillId="0" borderId="15" xfId="0" applyNumberFormat="1" applyFont="1" applyBorder="1"/>
    <xf numFmtId="164" fontId="11" fillId="0" borderId="67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/>
    <xf numFmtId="164" fontId="10" fillId="0" borderId="6" xfId="0" applyNumberFormat="1" applyFont="1" applyBorder="1"/>
    <xf numFmtId="164" fontId="10" fillId="0" borderId="16" xfId="0" applyNumberFormat="1" applyFont="1" applyBorder="1"/>
    <xf numFmtId="164" fontId="11" fillId="0" borderId="40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/>
    <xf numFmtId="3" fontId="10" fillId="0" borderId="12" xfId="0" applyNumberFormat="1" applyFont="1" applyBorder="1"/>
    <xf numFmtId="164" fontId="11" fillId="0" borderId="13" xfId="0" applyNumberFormat="1" applyFont="1" applyBorder="1"/>
    <xf numFmtId="0" fontId="67" fillId="0" borderId="42" xfId="0" applyFont="1" applyBorder="1"/>
    <xf numFmtId="169" fontId="67" fillId="0" borderId="42" xfId="0" applyNumberFormat="1" applyFont="1" applyBorder="1"/>
    <xf numFmtId="169" fontId="67" fillId="0" borderId="83" xfId="0" applyNumberFormat="1" applyFont="1" applyBorder="1"/>
    <xf numFmtId="164" fontId="11" fillId="0" borderId="79" xfId="0" applyNumberFormat="1" applyFont="1" applyBorder="1" applyAlignment="1">
      <alignment horizontal="right"/>
    </xf>
    <xf numFmtId="169" fontId="11" fillId="0" borderId="79" xfId="0" applyNumberFormat="1" applyFont="1" applyBorder="1" applyAlignment="1">
      <alignment horizontal="right"/>
    </xf>
    <xf numFmtId="164" fontId="11" fillId="0" borderId="87" xfId="0" applyNumberFormat="1" applyFont="1" applyBorder="1" applyAlignment="1">
      <alignment horizontal="right"/>
    </xf>
    <xf numFmtId="169" fontId="11" fillId="0" borderId="82" xfId="0" applyNumberFormat="1" applyFont="1" applyBorder="1" applyAlignment="1">
      <alignment horizontal="right"/>
    </xf>
    <xf numFmtId="169" fontId="67" fillId="0" borderId="85" xfId="0" applyNumberFormat="1" applyFont="1" applyBorder="1"/>
    <xf numFmtId="169" fontId="11" fillId="0" borderId="19" xfId="0" applyNumberFormat="1" applyFont="1" applyBorder="1"/>
    <xf numFmtId="164" fontId="11" fillId="0" borderId="17" xfId="0" applyNumberFormat="1" applyFont="1" applyBorder="1"/>
    <xf numFmtId="169" fontId="11" fillId="0" borderId="86" xfId="0" applyNumberFormat="1" applyFont="1" applyBorder="1"/>
    <xf numFmtId="170" fontId="68" fillId="0" borderId="0" xfId="0" applyNumberFormat="1" applyFont="1"/>
    <xf numFmtId="0" fontId="62" fillId="0" borderId="0" xfId="0" quotePrefix="1" applyFont="1"/>
    <xf numFmtId="164" fontId="62" fillId="0" borderId="0" xfId="0" applyNumberFormat="1" applyFont="1"/>
    <xf numFmtId="0" fontId="62" fillId="0" borderId="0" xfId="0" applyFont="1"/>
    <xf numFmtId="164" fontId="62" fillId="0" borderId="2" xfId="0" applyNumberFormat="1" applyFont="1" applyBorder="1"/>
    <xf numFmtId="0" fontId="12" fillId="0" borderId="0" xfId="1" applyFont="1" applyAlignment="1">
      <alignment vertical="center"/>
    </xf>
    <xf numFmtId="169" fontId="0" fillId="0" borderId="0" xfId="0" applyNumberFormat="1"/>
    <xf numFmtId="0" fontId="0" fillId="0" borderId="9" xfId="0" applyBorder="1"/>
    <xf numFmtId="169" fontId="0" fillId="0" borderId="9" xfId="0" applyNumberFormat="1" applyBorder="1"/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164" fontId="10" fillId="0" borderId="89" xfId="0" applyNumberFormat="1" applyFont="1" applyBorder="1" applyAlignment="1">
      <alignment horizontal="center" vertical="center" wrapText="1"/>
    </xf>
    <xf numFmtId="164" fontId="8" fillId="0" borderId="90" xfId="0" applyNumberFormat="1" applyFont="1" applyBorder="1" applyAlignment="1">
      <alignment horizontal="center" vertical="center" wrapText="1"/>
    </xf>
    <xf numFmtId="164" fontId="8" fillId="0" borderId="89" xfId="0" applyNumberFormat="1" applyFont="1" applyBorder="1" applyAlignment="1">
      <alignment horizontal="center" vertical="center" wrapText="1"/>
    </xf>
    <xf numFmtId="164" fontId="9" fillId="0" borderId="9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3" fontId="10" fillId="0" borderId="92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164" fontId="11" fillId="0" borderId="42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top"/>
    </xf>
    <xf numFmtId="0" fontId="18" fillId="0" borderId="93" xfId="0" applyFont="1" applyBorder="1" applyAlignment="1">
      <alignment horizontal="center" vertical="top"/>
    </xf>
    <xf numFmtId="164" fontId="11" fillId="0" borderId="94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164" fontId="11" fillId="0" borderId="92" xfId="0" applyNumberFormat="1" applyFont="1" applyBorder="1" applyAlignment="1">
      <alignment horizontal="right" vertical="center"/>
    </xf>
    <xf numFmtId="0" fontId="18" fillId="0" borderId="93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4" fontId="11" fillId="0" borderId="86" xfId="0" applyNumberFormat="1" applyFont="1" applyBorder="1" applyAlignment="1">
      <alignment horizontal="right" vertical="center"/>
    </xf>
    <xf numFmtId="0" fontId="24" fillId="0" borderId="84" xfId="1" applyFont="1" applyBorder="1" applyAlignment="1">
      <alignment horizontal="center" vertical="center"/>
    </xf>
    <xf numFmtId="164" fontId="11" fillId="0" borderId="85" xfId="0" applyNumberFormat="1" applyFont="1" applyBorder="1" applyAlignment="1">
      <alignment horizontal="right" vertical="center"/>
    </xf>
    <xf numFmtId="0" fontId="11" fillId="0" borderId="9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69" fontId="0" fillId="0" borderId="42" xfId="0" applyNumberFormat="1" applyBorder="1"/>
    <xf numFmtId="169" fontId="0" fillId="0" borderId="94" xfId="0" applyNumberFormat="1" applyBorder="1"/>
    <xf numFmtId="169" fontId="0" fillId="0" borderId="86" xfId="0" applyNumberFormat="1" applyBorder="1"/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170" fontId="62" fillId="0" borderId="42" xfId="0" applyNumberFormat="1" applyFont="1" applyBorder="1"/>
    <xf numFmtId="0" fontId="62" fillId="0" borderId="9" xfId="0" applyFont="1" applyBorder="1" applyAlignment="1">
      <alignment vertical="center" wrapText="1"/>
    </xf>
    <xf numFmtId="170" fontId="62" fillId="0" borderId="92" xfId="0" applyNumberFormat="1" applyFont="1" applyBorder="1"/>
    <xf numFmtId="0" fontId="69" fillId="0" borderId="19" xfId="0" applyFont="1" applyBorder="1" applyAlignment="1">
      <alignment horizontal="justify" vertical="center" wrapText="1"/>
    </xf>
    <xf numFmtId="0" fontId="70" fillId="0" borderId="86" xfId="0" applyFont="1" applyBorder="1" applyAlignment="1">
      <alignment wrapText="1"/>
    </xf>
    <xf numFmtId="0" fontId="67" fillId="0" borderId="0" xfId="0" applyFont="1"/>
    <xf numFmtId="170" fontId="71" fillId="0" borderId="0" xfId="0" applyNumberFormat="1" applyFont="1"/>
    <xf numFmtId="3" fontId="9" fillId="0" borderId="2" xfId="0" applyNumberFormat="1" applyFont="1" applyBorder="1"/>
    <xf numFmtId="3" fontId="68" fillId="0" borderId="0" xfId="0" applyNumberFormat="1" applyFont="1"/>
    <xf numFmtId="170" fontId="0" fillId="0" borderId="0" xfId="0" applyNumberFormat="1"/>
    <xf numFmtId="173" fontId="0" fillId="0" borderId="0" xfId="0" applyNumberFormat="1"/>
    <xf numFmtId="0" fontId="62" fillId="0" borderId="0" xfId="0" applyFont="1" applyFill="1" applyBorder="1" applyAlignment="1">
      <alignment vertical="center" wrapText="1"/>
    </xf>
    <xf numFmtId="172" fontId="62" fillId="0" borderId="12" xfId="0" applyNumberFormat="1" applyFont="1" applyBorder="1" applyAlignment="1">
      <alignment vertical="center" wrapText="1"/>
    </xf>
    <xf numFmtId="16" fontId="62" fillId="0" borderId="12" xfId="0" applyNumberFormat="1" applyFont="1" applyBorder="1" applyAlignment="1">
      <alignment vertical="center" wrapText="1"/>
    </xf>
    <xf numFmtId="0" fontId="62" fillId="0" borderId="8" xfId="0" applyFont="1" applyBorder="1" applyAlignment="1">
      <alignment vertical="center" wrapText="1"/>
    </xf>
    <xf numFmtId="16" fontId="62" fillId="0" borderId="8" xfId="0" applyNumberFormat="1" applyFont="1" applyBorder="1" applyAlignment="1">
      <alignment vertical="center" wrapText="1"/>
    </xf>
    <xf numFmtId="0" fontId="62" fillId="0" borderId="41" xfId="0" applyFont="1" applyBorder="1"/>
    <xf numFmtId="0" fontId="0" fillId="0" borderId="96" xfId="0" applyBorder="1"/>
    <xf numFmtId="0" fontId="0" fillId="0" borderId="37" xfId="0" applyBorder="1"/>
    <xf numFmtId="0" fontId="0" fillId="0" borderId="97" xfId="0" applyBorder="1"/>
    <xf numFmtId="170" fontId="0" fillId="0" borderId="98" xfId="0" applyNumberFormat="1" applyBorder="1"/>
    <xf numFmtId="0" fontId="62" fillId="0" borderId="44" xfId="0" applyFont="1" applyBorder="1"/>
    <xf numFmtId="0" fontId="68" fillId="0" borderId="30" xfId="0" applyFont="1" applyBorder="1"/>
    <xf numFmtId="0" fontId="25" fillId="0" borderId="37" xfId="0" applyFont="1" applyBorder="1"/>
    <xf numFmtId="0" fontId="10" fillId="0" borderId="0" xfId="0" applyFont="1" applyFill="1"/>
    <xf numFmtId="0" fontId="72" fillId="0" borderId="0" xfId="0" applyFont="1" applyFill="1"/>
    <xf numFmtId="0" fontId="72" fillId="0" borderId="0" xfId="0" applyFont="1"/>
    <xf numFmtId="0" fontId="73" fillId="0" borderId="0" xfId="0" applyFont="1"/>
    <xf numFmtId="0" fontId="74" fillId="0" borderId="0" xfId="0" applyFont="1"/>
    <xf numFmtId="165" fontId="74" fillId="0" borderId="0" xfId="0" applyNumberFormat="1" applyFont="1"/>
    <xf numFmtId="0" fontId="72" fillId="0" borderId="2" xfId="0" applyFont="1" applyFill="1" applyBorder="1"/>
    <xf numFmtId="5" fontId="72" fillId="0" borderId="2" xfId="0" applyNumberFormat="1" applyFont="1" applyFill="1" applyBorder="1"/>
    <xf numFmtId="3" fontId="10" fillId="0" borderId="0" xfId="0" applyNumberFormat="1" applyFont="1"/>
    <xf numFmtId="164" fontId="25" fillId="0" borderId="0" xfId="0" applyNumberFormat="1" applyFont="1"/>
    <xf numFmtId="14" fontId="0" fillId="0" borderId="0" xfId="0" applyNumberFormat="1"/>
    <xf numFmtId="3" fontId="25" fillId="0" borderId="0" xfId="0" applyNumberFormat="1" applyFont="1"/>
    <xf numFmtId="3" fontId="0" fillId="0" borderId="1" xfId="0" applyNumberFormat="1" applyBorder="1"/>
    <xf numFmtId="173" fontId="57" fillId="0" borderId="0" xfId="0" applyNumberFormat="1" applyFont="1"/>
    <xf numFmtId="3" fontId="0" fillId="0" borderId="1" xfId="0" applyNumberFormat="1" applyFont="1" applyBorder="1"/>
    <xf numFmtId="0" fontId="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2" fillId="0" borderId="1" xfId="2" applyFont="1" applyBorder="1" applyAlignment="1">
      <alignment horizontal="left"/>
    </xf>
    <xf numFmtId="0" fontId="28" fillId="0" borderId="0" xfId="2" applyFont="1" applyBorder="1" applyAlignment="1">
      <alignment horizontal="left"/>
    </xf>
    <xf numFmtId="0" fontId="26" fillId="0" borderId="0" xfId="2" applyFont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2" fillId="0" borderId="0" xfId="2" applyFont="1" applyBorder="1" applyAlignment="1">
      <alignment horizontal="left"/>
    </xf>
    <xf numFmtId="0" fontId="22" fillId="0" borderId="3" xfId="2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6" fillId="0" borderId="0" xfId="2" applyFont="1" applyAlignment="1">
      <alignment horizontal="center" vertical="center"/>
    </xf>
    <xf numFmtId="0" fontId="22" fillId="0" borderId="1" xfId="2" applyFont="1" applyBorder="1" applyAlignment="1">
      <alignment horizontal="right" vertical="center"/>
    </xf>
    <xf numFmtId="0" fontId="28" fillId="0" borderId="0" xfId="2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166" fontId="17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0" fontId="67" fillId="0" borderId="93" xfId="0" applyFont="1" applyBorder="1" applyAlignment="1"/>
    <xf numFmtId="0" fontId="67" fillId="0" borderId="8" xfId="0" applyFont="1" applyBorder="1" applyAlignment="1"/>
    <xf numFmtId="171" fontId="8" fillId="0" borderId="66" xfId="0" applyNumberFormat="1" applyFont="1" applyFill="1" applyBorder="1" applyAlignment="1">
      <alignment horizontal="left" vertical="center"/>
    </xf>
    <xf numFmtId="171" fontId="8" fillId="0" borderId="21" xfId="0" applyNumberFormat="1" applyFont="1" applyFill="1" applyBorder="1" applyAlignment="1">
      <alignment horizontal="left" vertical="center"/>
    </xf>
    <xf numFmtId="171" fontId="67" fillId="0" borderId="21" xfId="0" applyNumberFormat="1" applyFont="1" applyBorder="1" applyAlignment="1"/>
    <xf numFmtId="0" fontId="67" fillId="0" borderId="21" xfId="0" applyFont="1" applyBorder="1" applyAlignment="1"/>
    <xf numFmtId="0" fontId="0" fillId="0" borderId="40" xfId="0" applyBorder="1" applyAlignment="1"/>
    <xf numFmtId="0" fontId="0" fillId="0" borderId="30" xfId="0" applyBorder="1" applyAlignment="1"/>
    <xf numFmtId="0" fontId="0" fillId="0" borderId="19" xfId="0" applyBorder="1" applyAlignment="1"/>
    <xf numFmtId="0" fontId="67" fillId="0" borderId="41" xfId="0" applyFont="1" applyBorder="1" applyAlignment="1"/>
    <xf numFmtId="0" fontId="67" fillId="0" borderId="12" xfId="0" applyFont="1" applyBorder="1" applyAlignment="1"/>
    <xf numFmtId="0" fontId="25" fillId="0" borderId="38" xfId="0" applyFont="1" applyBorder="1" applyAlignment="1"/>
    <xf numFmtId="0" fontId="25" fillId="0" borderId="76" xfId="0" applyFont="1" applyBorder="1" applyAlignment="1"/>
    <xf numFmtId="3" fontId="39" fillId="0" borderId="12" xfId="0" applyNumberFormat="1" applyFont="1" applyFill="1" applyBorder="1" applyAlignment="1">
      <alignment horizontal="left"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2" borderId="12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26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left" vertical="center"/>
    </xf>
    <xf numFmtId="3" fontId="39" fillId="0" borderId="13" xfId="0" applyNumberFormat="1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>
      <alignment horizontal="left" vertical="center"/>
    </xf>
    <xf numFmtId="3" fontId="40" fillId="0" borderId="13" xfId="0" applyNumberFormat="1" applyFont="1" applyFill="1" applyBorder="1" applyAlignment="1">
      <alignment horizontal="left" vertical="center" wrapText="1"/>
    </xf>
    <xf numFmtId="3" fontId="40" fillId="0" borderId="26" xfId="0" applyNumberFormat="1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 wrapText="1"/>
    </xf>
    <xf numFmtId="3" fontId="43" fillId="0" borderId="1" xfId="0" applyNumberFormat="1" applyFont="1" applyBorder="1" applyAlignment="1">
      <alignment horizontal="right"/>
    </xf>
    <xf numFmtId="3" fontId="41" fillId="0" borderId="8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8" fillId="0" borderId="13" xfId="0" applyNumberFormat="1" applyFont="1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20" xfId="0" applyFont="1" applyBorder="1" applyAlignment="1"/>
    <xf numFmtId="0" fontId="8" fillId="0" borderId="29" xfId="0" applyFont="1" applyBorder="1" applyAlignment="1"/>
    <xf numFmtId="0" fontId="8" fillId="0" borderId="13" xfId="0" applyFont="1" applyBorder="1" applyAlignment="1"/>
    <xf numFmtId="0" fontId="8" fillId="0" borderId="36" xfId="0" applyFont="1" applyBorder="1" applyAlignment="1"/>
    <xf numFmtId="0" fontId="8" fillId="0" borderId="26" xfId="0" applyFont="1" applyBorder="1" applyAlignment="1"/>
    <xf numFmtId="3" fontId="57" fillId="0" borderId="13" xfId="3" applyNumberFormat="1" applyFont="1" applyBorder="1" applyAlignment="1">
      <alignment horizontal="left"/>
    </xf>
    <xf numFmtId="3" fontId="57" fillId="0" borderId="70" xfId="3" applyNumberFormat="1" applyFont="1" applyBorder="1" applyAlignment="1">
      <alignment horizontal="left"/>
    </xf>
    <xf numFmtId="3" fontId="56" fillId="0" borderId="17" xfId="3" applyNumberFormat="1" applyFont="1" applyBorder="1" applyAlignment="1"/>
    <xf numFmtId="3" fontId="56" fillId="0" borderId="65" xfId="3" applyNumberFormat="1" applyFont="1" applyBorder="1" applyAlignment="1"/>
    <xf numFmtId="3" fontId="57" fillId="0" borderId="7" xfId="3" applyNumberFormat="1" applyFont="1" applyBorder="1" applyAlignment="1">
      <alignment horizontal="left"/>
    </xf>
    <xf numFmtId="3" fontId="57" fillId="0" borderId="71" xfId="3" applyNumberFormat="1" applyFont="1" applyBorder="1" applyAlignment="1">
      <alignment horizontal="left"/>
    </xf>
    <xf numFmtId="3" fontId="57" fillId="0" borderId="67" xfId="3" applyNumberFormat="1" applyFont="1" applyBorder="1" applyAlignment="1"/>
    <xf numFmtId="3" fontId="57" fillId="0" borderId="68" xfId="3" applyNumberFormat="1" applyFont="1" applyBorder="1"/>
    <xf numFmtId="3" fontId="56" fillId="0" borderId="0" xfId="3" applyNumberFormat="1" applyFont="1" applyAlignment="1">
      <alignment horizontal="center"/>
    </xf>
    <xf numFmtId="3" fontId="57" fillId="0" borderId="0" xfId="3" applyNumberFormat="1" applyFont="1" applyAlignment="1">
      <alignment horizontal="right"/>
    </xf>
    <xf numFmtId="3" fontId="56" fillId="0" borderId="17" xfId="0" applyNumberFormat="1" applyFont="1" applyBorder="1" applyAlignment="1">
      <alignment horizontal="center"/>
    </xf>
    <xf numFmtId="3" fontId="56" fillId="0" borderId="65" xfId="0" applyNumberFormat="1" applyFont="1" applyBorder="1" applyAlignment="1">
      <alignment horizontal="center"/>
    </xf>
    <xf numFmtId="3" fontId="57" fillId="0" borderId="67" xfId="3" applyNumberFormat="1" applyFont="1" applyBorder="1" applyAlignment="1">
      <alignment horizontal="center" vertical="center"/>
    </xf>
    <xf numFmtId="3" fontId="57" fillId="0" borderId="68" xfId="3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/>
    <xf numFmtId="0" fontId="47" fillId="0" borderId="20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0" xfId="0" applyFont="1" applyAlignment="1" applyProtection="1">
      <alignment horizontal="center" wrapText="1"/>
      <protection locked="0"/>
    </xf>
  </cellXfs>
  <cellStyles count="4">
    <cellStyle name="Normál" xfId="0" builtinId="0"/>
    <cellStyle name="Normál 2" xfId="1"/>
    <cellStyle name="Normál_Rendelet mellékletek 2008.jav." xfId="3"/>
    <cellStyle name="Normál_Tájékoztató - a 2005. évi pénzügyi terv I. félévi teljesítéséről (táblá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zoomScaleNormal="100" workbookViewId="0">
      <selection activeCell="A135" sqref="A135"/>
    </sheetView>
  </sheetViews>
  <sheetFormatPr defaultRowHeight="15" x14ac:dyDescent="0.25"/>
  <cols>
    <col min="1" max="1" width="76.42578125" customWidth="1"/>
    <col min="2" max="2" width="17.28515625" customWidth="1"/>
    <col min="4" max="4" width="11.42578125" bestFit="1" customWidth="1"/>
    <col min="6" max="6" width="9.85546875" bestFit="1" customWidth="1"/>
  </cols>
  <sheetData>
    <row r="1" spans="1:2" ht="18.75" x14ac:dyDescent="0.3">
      <c r="A1" s="613" t="s">
        <v>472</v>
      </c>
      <c r="B1" s="613"/>
    </row>
    <row r="2" spans="1:2" ht="15.75" x14ac:dyDescent="0.25">
      <c r="A2" s="1"/>
      <c r="B2" s="23"/>
    </row>
    <row r="3" spans="1:2" ht="15.75" x14ac:dyDescent="0.25">
      <c r="A3" s="1"/>
      <c r="B3" s="23"/>
    </row>
    <row r="4" spans="1:2" ht="31.5" x14ac:dyDescent="0.25">
      <c r="A4" s="2" t="s">
        <v>0</v>
      </c>
      <c r="B4" s="24" t="s">
        <v>473</v>
      </c>
    </row>
    <row r="5" spans="1:2" ht="15.75" x14ac:dyDescent="0.25">
      <c r="A5" s="3" t="s">
        <v>1</v>
      </c>
      <c r="B5" s="25" t="s">
        <v>37</v>
      </c>
    </row>
    <row r="6" spans="1:2" ht="15.75" x14ac:dyDescent="0.25">
      <c r="A6" s="3" t="s">
        <v>2</v>
      </c>
      <c r="B6" s="23"/>
    </row>
    <row r="7" spans="1:2" ht="15.75" x14ac:dyDescent="0.25">
      <c r="A7" s="4" t="str">
        <f>CONCATENATE("1.",'2.'!A6,'2.'!B6)</f>
        <v>1.1.Közhatalmi bevételek</v>
      </c>
      <c r="B7" s="318">
        <f>'2.'!I6</f>
        <v>500000</v>
      </c>
    </row>
    <row r="8" spans="1:2" ht="15.75" x14ac:dyDescent="0.25">
      <c r="A8" s="4" t="str">
        <f>CONCATENATE("1.",'2.'!A7,'2.'!B7)</f>
        <v>1.2.Áru- és készletértékesítés</v>
      </c>
      <c r="B8" s="318">
        <f>'2.'!I7</f>
        <v>0</v>
      </c>
    </row>
    <row r="9" spans="1:2" ht="15.75" x14ac:dyDescent="0.25">
      <c r="A9" s="4" t="str">
        <f>CONCATENATE("1.",'2.'!A8,'2.'!B8)</f>
        <v xml:space="preserve">1.3.Szolgáltatások ellenértéke </v>
      </c>
      <c r="B9" s="318">
        <f>'2.'!I8</f>
        <v>13654150</v>
      </c>
    </row>
    <row r="10" spans="1:2" ht="15.75" x14ac:dyDescent="0.25">
      <c r="A10" s="4" t="str">
        <f>CONCATENATE("1.",'2.'!A9,'2.'!B9)</f>
        <v>1.4.Egyéb sajátos bevétel</v>
      </c>
      <c r="B10" s="318">
        <f>'2.'!I9</f>
        <v>6014000</v>
      </c>
    </row>
    <row r="11" spans="1:2" ht="15.75" x14ac:dyDescent="0.25">
      <c r="A11" s="4" t="str">
        <f>CONCATENATE("1.",'2.'!A10,'2.'!B10)</f>
        <v>1.5.Továbbszámlázott szolgáltatások értéke</v>
      </c>
      <c r="B11" s="318">
        <f>'2.'!I10</f>
        <v>250000</v>
      </c>
    </row>
    <row r="12" spans="1:2" ht="15.75" x14ac:dyDescent="0.25">
      <c r="A12" s="4" t="str">
        <f>CONCATENATE("1.",'2.'!A11,'2.'!B11)</f>
        <v>1.6.Bérleti és lízingdíj bevételek</v>
      </c>
      <c r="B12" s="318">
        <f>'2.'!I11</f>
        <v>3920000</v>
      </c>
    </row>
    <row r="13" spans="1:2" ht="15.75" x14ac:dyDescent="0.25">
      <c r="A13" s="4" t="str">
        <f>CONCATENATE("1.",'2.'!A12,'2.'!B12)</f>
        <v>1.7.Intézményi ellátási díjak</v>
      </c>
      <c r="B13" s="318">
        <f>'2.'!I12</f>
        <v>71313313</v>
      </c>
    </row>
    <row r="14" spans="1:2" ht="15.75" x14ac:dyDescent="0.25">
      <c r="A14" s="4" t="str">
        <f>CONCATENATE("1.",'2.'!A13,'2.'!B13)</f>
        <v>1.8.Alkalmazottak térítése</v>
      </c>
      <c r="B14" s="318">
        <f>'2.'!I13</f>
        <v>0</v>
      </c>
    </row>
    <row r="15" spans="1:2" ht="15.75" x14ac:dyDescent="0.25">
      <c r="A15" s="4" t="str">
        <f>CONCATENATE("1.",'2.'!A14,'2.'!B14)</f>
        <v>1.9.Kötbér, egyéb kártérítés, bánatpénz bevételek</v>
      </c>
      <c r="B15" s="318">
        <f>'2.'!I14</f>
        <v>0</v>
      </c>
    </row>
    <row r="16" spans="1:2" ht="15.75" x14ac:dyDescent="0.25">
      <c r="A16" s="4" t="str">
        <f>CONCATENATE("1.",'2.'!A15,'2.'!B15)</f>
        <v>1.10.Kiszámlázott termékek és szolgáltatások Áfája</v>
      </c>
      <c r="B16" s="318">
        <f>'2.'!I15</f>
        <v>24520715.009999998</v>
      </c>
    </row>
    <row r="17" spans="1:2" ht="15.75" x14ac:dyDescent="0.25">
      <c r="A17" s="4" t="str">
        <f>CONCATENATE("1.",'2.'!A16,'2.'!B16)</f>
        <v>1.11.Értékesített tárgyi eszközök Áfája</v>
      </c>
      <c r="B17" s="318">
        <f>'2.'!I16</f>
        <v>270000</v>
      </c>
    </row>
    <row r="18" spans="1:2" ht="15.75" x14ac:dyDescent="0.25">
      <c r="A18" s="4" t="str">
        <f>CONCATENATE("1.",'2.'!A17,'2.'!B17)</f>
        <v>1.12.Kamatbevétel</v>
      </c>
      <c r="B18" s="318">
        <f>'2.'!I17</f>
        <v>0</v>
      </c>
    </row>
    <row r="19" spans="1:2" ht="15.75" x14ac:dyDescent="0.25">
      <c r="A19" s="4" t="str">
        <f>CONCATENATE("1.",'2.'!A18,'2.'!B18)</f>
        <v>1.13.Működési célú pénzeszköz átvétel államháztartáson kívülről</v>
      </c>
      <c r="B19" s="319">
        <f>'2.'!I18</f>
        <v>0</v>
      </c>
    </row>
    <row r="20" spans="1:2" ht="15.75" x14ac:dyDescent="0.25">
      <c r="A20" s="5" t="s">
        <v>3</v>
      </c>
      <c r="B20" s="320">
        <f>SUM(B7:B19)</f>
        <v>120442178.00999999</v>
      </c>
    </row>
    <row r="21" spans="1:2" ht="15.75" x14ac:dyDescent="0.25">
      <c r="A21" s="1"/>
      <c r="B21" s="291"/>
    </row>
    <row r="22" spans="1:2" ht="15.75" x14ac:dyDescent="0.25">
      <c r="A22" s="3" t="s">
        <v>4</v>
      </c>
      <c r="B22" s="291"/>
    </row>
    <row r="23" spans="1:2" ht="15.75" x14ac:dyDescent="0.25">
      <c r="A23" s="3" t="s">
        <v>5</v>
      </c>
      <c r="B23" s="291"/>
    </row>
    <row r="24" spans="1:2" ht="15.75" x14ac:dyDescent="0.25">
      <c r="A24" s="1" t="s">
        <v>38</v>
      </c>
      <c r="B24" s="321">
        <v>15000000</v>
      </c>
    </row>
    <row r="25" spans="1:2" ht="15.75" x14ac:dyDescent="0.25">
      <c r="A25" s="1" t="s">
        <v>39</v>
      </c>
      <c r="B25" s="321">
        <v>13000</v>
      </c>
    </row>
    <row r="26" spans="1:2" ht="15.75" x14ac:dyDescent="0.25">
      <c r="A26" s="1" t="s">
        <v>40</v>
      </c>
      <c r="B26" s="321">
        <v>9000000</v>
      </c>
    </row>
    <row r="27" spans="1:2" ht="15.75" x14ac:dyDescent="0.25">
      <c r="A27" s="1" t="s">
        <v>616</v>
      </c>
      <c r="B27" s="322">
        <v>1000000</v>
      </c>
    </row>
    <row r="28" spans="1:2" ht="15.75" x14ac:dyDescent="0.25">
      <c r="A28" s="5" t="s">
        <v>6</v>
      </c>
      <c r="B28" s="323">
        <f>SUM(B24:B27)</f>
        <v>25013000</v>
      </c>
    </row>
    <row r="29" spans="1:2" ht="15.75" x14ac:dyDescent="0.25">
      <c r="A29" s="6"/>
      <c r="B29" s="291"/>
    </row>
    <row r="30" spans="1:2" ht="15.75" x14ac:dyDescent="0.25">
      <c r="A30" s="3" t="s">
        <v>7</v>
      </c>
      <c r="B30" s="291"/>
    </row>
    <row r="31" spans="1:2" ht="15.75" x14ac:dyDescent="0.25">
      <c r="A31" s="1" t="s">
        <v>8</v>
      </c>
      <c r="B31" s="23">
        <v>5200000</v>
      </c>
    </row>
    <row r="32" spans="1:2" ht="15.75" x14ac:dyDescent="0.25">
      <c r="A32" s="1" t="s">
        <v>9</v>
      </c>
      <c r="B32" s="322">
        <v>0</v>
      </c>
    </row>
    <row r="33" spans="1:2" ht="15.75" x14ac:dyDescent="0.25">
      <c r="A33" s="5" t="s">
        <v>10</v>
      </c>
      <c r="B33" s="324">
        <f>SUM(B31:B32)</f>
        <v>5200000</v>
      </c>
    </row>
    <row r="34" spans="1:2" ht="15.75" x14ac:dyDescent="0.25">
      <c r="A34" s="1"/>
      <c r="B34" s="292"/>
    </row>
    <row r="35" spans="1:2" ht="15.75" x14ac:dyDescent="0.25">
      <c r="A35" s="3" t="s">
        <v>11</v>
      </c>
      <c r="B35" s="291"/>
    </row>
    <row r="36" spans="1:2" ht="15.75" x14ac:dyDescent="0.25">
      <c r="A36" s="1" t="s">
        <v>12</v>
      </c>
      <c r="B36" s="23"/>
    </row>
    <row r="37" spans="1:2" ht="15.75" x14ac:dyDescent="0.25">
      <c r="A37" s="1" t="s">
        <v>13</v>
      </c>
      <c r="B37" s="321">
        <v>500000</v>
      </c>
    </row>
    <row r="38" spans="1:2" ht="15.75" x14ac:dyDescent="0.25">
      <c r="A38" s="1" t="s">
        <v>41</v>
      </c>
      <c r="B38" s="322"/>
    </row>
    <row r="39" spans="1:2" ht="15.75" x14ac:dyDescent="0.25">
      <c r="A39" s="7" t="s">
        <v>14</v>
      </c>
      <c r="B39" s="324">
        <f>SUM(B36:B38)</f>
        <v>500000</v>
      </c>
    </row>
    <row r="40" spans="1:2" ht="15.75" x14ac:dyDescent="0.25">
      <c r="A40" s="8"/>
      <c r="B40" s="291"/>
    </row>
    <row r="41" spans="1:2" ht="16.5" thickBot="1" x14ac:dyDescent="0.3">
      <c r="A41" s="3" t="s">
        <v>15</v>
      </c>
      <c r="B41" s="327">
        <f>B28+B33+B39</f>
        <v>30713000</v>
      </c>
    </row>
    <row r="42" spans="1:2" ht="15.75" x14ac:dyDescent="0.25">
      <c r="A42" s="9" t="s">
        <v>16</v>
      </c>
      <c r="B42" s="503">
        <f>SUM(B20,B28,B33,B39)</f>
        <v>151155178.00999999</v>
      </c>
    </row>
    <row r="43" spans="1:2" ht="15.75" x14ac:dyDescent="0.25">
      <c r="A43" s="8"/>
      <c r="B43" s="292"/>
    </row>
    <row r="44" spans="1:2" ht="15.75" x14ac:dyDescent="0.25">
      <c r="A44" s="9" t="s">
        <v>17</v>
      </c>
      <c r="B44" s="25" t="s">
        <v>37</v>
      </c>
    </row>
    <row r="45" spans="1:2" ht="15.75" x14ac:dyDescent="0.25">
      <c r="A45" s="8" t="s">
        <v>504</v>
      </c>
      <c r="B45" s="292"/>
    </row>
    <row r="46" spans="1:2" ht="15.75" x14ac:dyDescent="0.25">
      <c r="A46" s="9" t="s">
        <v>487</v>
      </c>
      <c r="B46" s="291"/>
    </row>
    <row r="47" spans="1:2" ht="15.75" x14ac:dyDescent="0.25">
      <c r="A47" s="297" t="s">
        <v>480</v>
      </c>
      <c r="B47" s="321">
        <v>40945200</v>
      </c>
    </row>
    <row r="48" spans="1:2" ht="15.75" x14ac:dyDescent="0.25">
      <c r="A48" s="297" t="s">
        <v>481</v>
      </c>
      <c r="B48" s="497">
        <f>SUM(B49:B52)</f>
        <v>20265780</v>
      </c>
    </row>
    <row r="49" spans="1:5" ht="31.5" x14ac:dyDescent="0.25">
      <c r="A49" s="297" t="s">
        <v>490</v>
      </c>
      <c r="B49" s="498">
        <v>8100778</v>
      </c>
    </row>
    <row r="50" spans="1:5" ht="15.75" x14ac:dyDescent="0.25">
      <c r="A50" s="1" t="s">
        <v>482</v>
      </c>
      <c r="B50" s="498">
        <v>7215300</v>
      </c>
    </row>
    <row r="51" spans="1:5" ht="15.75" x14ac:dyDescent="0.25">
      <c r="A51" s="1" t="s">
        <v>483</v>
      </c>
      <c r="B51" s="498">
        <v>1314595</v>
      </c>
    </row>
    <row r="52" spans="1:5" ht="15.75" x14ac:dyDescent="0.25">
      <c r="A52" s="1" t="s">
        <v>484</v>
      </c>
      <c r="B52" s="498">
        <v>3635107</v>
      </c>
    </row>
    <row r="53" spans="1:5" ht="15.75" x14ac:dyDescent="0.25">
      <c r="A53" s="1" t="s">
        <v>485</v>
      </c>
      <c r="B53" s="502">
        <v>-4825350</v>
      </c>
    </row>
    <row r="54" spans="1:5" ht="15.75" x14ac:dyDescent="0.25">
      <c r="A54" s="1" t="s">
        <v>486</v>
      </c>
      <c r="B54" s="322">
        <v>9798300</v>
      </c>
    </row>
    <row r="55" spans="1:5" ht="15.75" x14ac:dyDescent="0.25">
      <c r="A55" s="9" t="s">
        <v>488</v>
      </c>
      <c r="B55" s="499">
        <f>SUM(B47,B48,B53,B54,)</f>
        <v>66183930</v>
      </c>
    </row>
    <row r="56" spans="1:5" ht="15.75" x14ac:dyDescent="0.25">
      <c r="A56" s="1"/>
      <c r="B56" s="23"/>
    </row>
    <row r="57" spans="1:5" ht="15.75" x14ac:dyDescent="0.25">
      <c r="A57" s="9" t="s">
        <v>489</v>
      </c>
      <c r="B57" s="23"/>
    </row>
    <row r="58" spans="1:5" ht="15.75" x14ac:dyDescent="0.25">
      <c r="A58" s="298" t="s">
        <v>498</v>
      </c>
      <c r="B58" s="23">
        <v>9440000</v>
      </c>
    </row>
    <row r="59" spans="1:5" ht="31.5" x14ac:dyDescent="0.25">
      <c r="A59" s="297" t="s">
        <v>492</v>
      </c>
      <c r="B59" s="23">
        <v>2720000</v>
      </c>
    </row>
    <row r="60" spans="1:5" ht="31.5" x14ac:dyDescent="0.25">
      <c r="A60" s="297" t="s">
        <v>493</v>
      </c>
      <c r="B60" s="23">
        <v>1998000</v>
      </c>
    </row>
    <row r="61" spans="1:5" ht="31.5" x14ac:dyDescent="0.25">
      <c r="A61" s="297" t="s">
        <v>494</v>
      </c>
      <c r="B61" s="322">
        <v>9894000</v>
      </c>
      <c r="D61" s="295">
        <v>20094000</v>
      </c>
      <c r="E61" t="s">
        <v>780</v>
      </c>
    </row>
    <row r="62" spans="1:5" ht="31.5" x14ac:dyDescent="0.25">
      <c r="A62" s="299" t="s">
        <v>491</v>
      </c>
      <c r="B62" s="499">
        <f>SUM(B58:B61)</f>
        <v>24052000</v>
      </c>
      <c r="D62" s="610">
        <v>-10200000</v>
      </c>
      <c r="E62" t="s">
        <v>781</v>
      </c>
    </row>
    <row r="63" spans="1:5" ht="15.75" x14ac:dyDescent="0.25">
      <c r="A63" s="1"/>
      <c r="B63" s="23"/>
      <c r="D63" s="295">
        <f>SUM(D61:D62)</f>
        <v>9894000</v>
      </c>
    </row>
    <row r="64" spans="1:5" ht="15.75" x14ac:dyDescent="0.25">
      <c r="A64" s="9" t="s">
        <v>495</v>
      </c>
      <c r="B64" s="23"/>
    </row>
    <row r="65" spans="1:2" ht="15.75" x14ac:dyDescent="0.25">
      <c r="A65" s="1" t="s">
        <v>497</v>
      </c>
      <c r="B65" s="23">
        <v>13015992</v>
      </c>
    </row>
    <row r="66" spans="1:2" ht="15.75" x14ac:dyDescent="0.25">
      <c r="A66" s="1" t="s">
        <v>499</v>
      </c>
      <c r="B66" s="23">
        <v>4982400</v>
      </c>
    </row>
    <row r="67" spans="1:2" ht="15.75" x14ac:dyDescent="0.25">
      <c r="A67" s="1" t="s">
        <v>500</v>
      </c>
      <c r="B67" s="23">
        <v>1635000</v>
      </c>
    </row>
    <row r="68" spans="1:2" ht="31.5" x14ac:dyDescent="0.25">
      <c r="A68" s="297" t="s">
        <v>502</v>
      </c>
      <c r="B68" s="322">
        <v>20848320</v>
      </c>
    </row>
    <row r="69" spans="1:2" ht="31.5" x14ac:dyDescent="0.25">
      <c r="A69" s="299" t="s">
        <v>496</v>
      </c>
      <c r="B69" s="499">
        <f>SUM(B65:B68)</f>
        <v>40481712</v>
      </c>
    </row>
    <row r="70" spans="1:2" ht="15.75" x14ac:dyDescent="0.25">
      <c r="A70" s="1"/>
      <c r="B70" s="23"/>
    </row>
    <row r="71" spans="1:2" ht="15.75" x14ac:dyDescent="0.25">
      <c r="A71" s="9" t="s">
        <v>501</v>
      </c>
      <c r="B71" s="23"/>
    </row>
    <row r="72" spans="1:2" ht="31.5" x14ac:dyDescent="0.25">
      <c r="A72" s="297" t="s">
        <v>507</v>
      </c>
      <c r="B72" s="23">
        <v>4132706</v>
      </c>
    </row>
    <row r="73" spans="1:2" ht="15.75" x14ac:dyDescent="0.25">
      <c r="A73" s="9" t="s">
        <v>503</v>
      </c>
      <c r="B73" s="499">
        <f>SUM(B72)</f>
        <v>4132706</v>
      </c>
    </row>
    <row r="74" spans="1:2" ht="15.75" x14ac:dyDescent="0.25">
      <c r="A74" s="5" t="s">
        <v>505</v>
      </c>
      <c r="B74" s="499">
        <f>SUM(B55,B62,B69,B73)</f>
        <v>134850348</v>
      </c>
    </row>
    <row r="75" spans="1:2" ht="15.75" x14ac:dyDescent="0.25">
      <c r="A75" s="1"/>
      <c r="B75" s="23"/>
    </row>
    <row r="76" spans="1:2" ht="15.75" x14ac:dyDescent="0.25">
      <c r="A76" s="8" t="s">
        <v>506</v>
      </c>
      <c r="B76" s="23"/>
    </row>
    <row r="77" spans="1:2" ht="15.75" x14ac:dyDescent="0.25">
      <c r="A77" s="9" t="s">
        <v>508</v>
      </c>
      <c r="B77" s="424"/>
    </row>
    <row r="78" spans="1:2" ht="15.75" x14ac:dyDescent="0.25">
      <c r="A78" s="1" t="s">
        <v>510</v>
      </c>
      <c r="B78" s="26"/>
    </row>
    <row r="79" spans="1:2" ht="15.75" x14ac:dyDescent="0.25">
      <c r="A79" s="1" t="s">
        <v>511</v>
      </c>
      <c r="B79" s="26"/>
    </row>
    <row r="80" spans="1:2" ht="15.75" x14ac:dyDescent="0.25">
      <c r="A80" s="1" t="s">
        <v>512</v>
      </c>
      <c r="B80" s="326"/>
    </row>
    <row r="81" spans="1:8" ht="15.75" x14ac:dyDescent="0.25">
      <c r="A81" s="1" t="s">
        <v>701</v>
      </c>
      <c r="B81" s="325"/>
    </row>
    <row r="82" spans="1:8" ht="15.75" x14ac:dyDescent="0.25">
      <c r="A82" s="9" t="s">
        <v>509</v>
      </c>
      <c r="B82" s="499">
        <f>SUM(B78:B81)</f>
        <v>0</v>
      </c>
    </row>
    <row r="83" spans="1:8" ht="15.75" x14ac:dyDescent="0.25">
      <c r="A83" s="1"/>
      <c r="B83" s="23"/>
    </row>
    <row r="84" spans="1:8" ht="16.5" thickBot="1" x14ac:dyDescent="0.3">
      <c r="A84" s="3" t="s">
        <v>513</v>
      </c>
      <c r="B84" s="327">
        <f>SUM(B74,B82,)</f>
        <v>134850348</v>
      </c>
    </row>
    <row r="85" spans="1:8" ht="15.75" x14ac:dyDescent="0.25">
      <c r="A85" s="5" t="s">
        <v>18</v>
      </c>
      <c r="B85" s="324">
        <f>B84</f>
        <v>134850348</v>
      </c>
    </row>
    <row r="86" spans="1:8" ht="15.75" x14ac:dyDescent="0.25">
      <c r="A86" s="13"/>
      <c r="B86" s="26"/>
    </row>
    <row r="87" spans="1:8" s="1" customFormat="1" ht="31.5" x14ac:dyDescent="0.25">
      <c r="A87" s="465" t="s">
        <v>618</v>
      </c>
      <c r="B87" s="23"/>
      <c r="C87"/>
      <c r="D87" s="12"/>
      <c r="E87"/>
      <c r="F87"/>
      <c r="G87"/>
      <c r="H87"/>
    </row>
    <row r="88" spans="1:8" s="1" customFormat="1" ht="15.75" x14ac:dyDescent="0.25">
      <c r="A88" s="12" t="s">
        <v>617</v>
      </c>
      <c r="B88" s="322">
        <f>'6.'!G71</f>
        <v>31320000</v>
      </c>
      <c r="C88"/>
      <c r="D88" s="12"/>
      <c r="E88"/>
      <c r="F88"/>
      <c r="G88"/>
      <c r="H88"/>
    </row>
    <row r="89" spans="1:8" ht="15.75" x14ac:dyDescent="0.25">
      <c r="A89" s="9" t="s">
        <v>619</v>
      </c>
      <c r="B89" s="499">
        <f>SUM(B87:B88)</f>
        <v>31320000</v>
      </c>
    </row>
    <row r="90" spans="1:8" ht="15.75" x14ac:dyDescent="0.25">
      <c r="A90" s="13"/>
      <c r="B90" s="26"/>
    </row>
    <row r="91" spans="1:8" ht="16.5" thickBot="1" x14ac:dyDescent="0.3">
      <c r="A91" s="3" t="s">
        <v>612</v>
      </c>
      <c r="B91" s="327">
        <f>SUM(B84,B89,)</f>
        <v>166170348</v>
      </c>
    </row>
    <row r="92" spans="1:8" ht="15.75" x14ac:dyDescent="0.25">
      <c r="A92" s="5" t="s">
        <v>18</v>
      </c>
      <c r="B92" s="324">
        <f>B91</f>
        <v>166170348</v>
      </c>
    </row>
    <row r="93" spans="1:8" ht="15.75" x14ac:dyDescent="0.25">
      <c r="A93" s="13"/>
      <c r="B93" s="26"/>
    </row>
    <row r="94" spans="1:8" ht="15.75" x14ac:dyDescent="0.25">
      <c r="A94" s="9" t="s">
        <v>19</v>
      </c>
      <c r="B94" s="26"/>
    </row>
    <row r="95" spans="1:8" ht="15.75" x14ac:dyDescent="0.25">
      <c r="A95" s="12" t="s">
        <v>20</v>
      </c>
      <c r="B95" s="26">
        <v>0</v>
      </c>
    </row>
    <row r="96" spans="1:8" ht="15.75" x14ac:dyDescent="0.25">
      <c r="A96" s="12" t="s">
        <v>21</v>
      </c>
      <c r="B96" s="26">
        <v>0</v>
      </c>
    </row>
    <row r="97" spans="1:4" ht="15.75" x14ac:dyDescent="0.25">
      <c r="A97" s="12" t="s">
        <v>42</v>
      </c>
      <c r="B97" s="326"/>
    </row>
    <row r="98" spans="1:4" ht="15.75" x14ac:dyDescent="0.25">
      <c r="A98" s="14" t="s">
        <v>22</v>
      </c>
      <c r="B98" s="328">
        <f>SUM(B95:B97)</f>
        <v>0</v>
      </c>
    </row>
    <row r="99" spans="1:4" ht="15.75" x14ac:dyDescent="0.25">
      <c r="A99" s="12"/>
      <c r="B99" s="26"/>
    </row>
    <row r="100" spans="1:4" ht="15.75" x14ac:dyDescent="0.25">
      <c r="A100" s="9" t="s">
        <v>23</v>
      </c>
      <c r="B100" s="26"/>
    </row>
    <row r="101" spans="1:4" ht="15.75" x14ac:dyDescent="0.25">
      <c r="A101" s="9" t="s">
        <v>24</v>
      </c>
      <c r="B101" s="26"/>
    </row>
    <row r="102" spans="1:4" ht="15.75" x14ac:dyDescent="0.25">
      <c r="A102" s="12" t="s">
        <v>25</v>
      </c>
      <c r="B102" s="26">
        <v>4000000</v>
      </c>
    </row>
    <row r="103" spans="1:4" ht="15.75" x14ac:dyDescent="0.25">
      <c r="A103" s="443" t="s">
        <v>26</v>
      </c>
      <c r="B103" s="326">
        <v>10800000</v>
      </c>
    </row>
    <row r="104" spans="1:4" ht="15.75" x14ac:dyDescent="0.25">
      <c r="A104" s="443" t="s">
        <v>589</v>
      </c>
      <c r="B104" s="326">
        <v>600000</v>
      </c>
    </row>
    <row r="105" spans="1:4" ht="15.75" x14ac:dyDescent="0.25">
      <c r="A105" s="443" t="s">
        <v>702</v>
      </c>
      <c r="B105" s="326">
        <v>74610834</v>
      </c>
    </row>
    <row r="106" spans="1:4" ht="15.75" x14ac:dyDescent="0.25">
      <c r="A106" s="28" t="s">
        <v>758</v>
      </c>
      <c r="B106" s="325">
        <v>7267266</v>
      </c>
    </row>
    <row r="107" spans="1:4" ht="15.75" x14ac:dyDescent="0.25">
      <c r="A107" s="15" t="s">
        <v>27</v>
      </c>
      <c r="B107" s="27">
        <f>SUM(B102:B106)</f>
        <v>97278100</v>
      </c>
    </row>
    <row r="108" spans="1:4" ht="15.75" x14ac:dyDescent="0.25">
      <c r="A108" s="13"/>
      <c r="B108" s="326"/>
    </row>
    <row r="109" spans="1:4" ht="15.75" x14ac:dyDescent="0.25">
      <c r="A109" s="16" t="s">
        <v>28</v>
      </c>
      <c r="B109" s="326"/>
    </row>
    <row r="110" spans="1:4" ht="15.75" x14ac:dyDescent="0.25">
      <c r="A110" s="386" t="s">
        <v>514</v>
      </c>
      <c r="B110" s="325">
        <v>41122000</v>
      </c>
      <c r="D110" s="329"/>
    </row>
    <row r="111" spans="1:4" ht="16.5" thickBot="1" x14ac:dyDescent="0.3">
      <c r="A111" s="18" t="s">
        <v>29</v>
      </c>
      <c r="B111" s="327">
        <f>SUM(B110)</f>
        <v>41122000</v>
      </c>
      <c r="D111" s="294"/>
    </row>
    <row r="112" spans="1:4" ht="15.75" x14ac:dyDescent="0.25">
      <c r="A112" s="16"/>
      <c r="B112" s="325"/>
    </row>
    <row r="113" spans="1:7" ht="15.75" x14ac:dyDescent="0.25">
      <c r="A113" s="16" t="s">
        <v>30</v>
      </c>
      <c r="B113" s="328">
        <f>SUM(B107,B111)</f>
        <v>138400100</v>
      </c>
    </row>
    <row r="114" spans="1:7" ht="15.75" x14ac:dyDescent="0.25">
      <c r="A114" s="13"/>
      <c r="B114" s="26"/>
    </row>
    <row r="115" spans="1:7" ht="15.75" x14ac:dyDescent="0.25">
      <c r="A115" s="19" t="s">
        <v>31</v>
      </c>
      <c r="B115" s="26"/>
    </row>
    <row r="116" spans="1:7" ht="15.75" x14ac:dyDescent="0.25">
      <c r="A116" s="13" t="s">
        <v>32</v>
      </c>
      <c r="B116" s="26"/>
    </row>
    <row r="117" spans="1:7" ht="15.75" x14ac:dyDescent="0.25">
      <c r="A117" s="1"/>
      <c r="B117" s="23"/>
    </row>
    <row r="118" spans="1:7" ht="15.75" x14ac:dyDescent="0.25">
      <c r="A118" s="20" t="s">
        <v>33</v>
      </c>
      <c r="B118" s="324">
        <f>B42+B91+B98+B113+B116</f>
        <v>455725626.00999999</v>
      </c>
    </row>
    <row r="119" spans="1:7" ht="15.75" x14ac:dyDescent="0.25">
      <c r="A119" s="1"/>
      <c r="B119" s="23"/>
    </row>
    <row r="120" spans="1:7" ht="15.75" x14ac:dyDescent="0.25">
      <c r="A120" s="1"/>
      <c r="B120" s="23"/>
    </row>
    <row r="121" spans="1:7" ht="15.75" x14ac:dyDescent="0.25">
      <c r="A121" s="19" t="s">
        <v>34</v>
      </c>
      <c r="B121" s="26"/>
    </row>
    <row r="122" spans="1:7" ht="15.75" x14ac:dyDescent="0.25">
      <c r="A122" s="423" t="s">
        <v>515</v>
      </c>
      <c r="B122" s="507">
        <f>D124</f>
        <v>23477000</v>
      </c>
      <c r="D122" s="611">
        <v>9668802</v>
      </c>
      <c r="E122" t="s">
        <v>778</v>
      </c>
    </row>
    <row r="123" spans="1:7" ht="15.75" x14ac:dyDescent="0.25">
      <c r="A123" s="13"/>
      <c r="B123" s="26"/>
      <c r="D123" s="612">
        <v>13808198</v>
      </c>
      <c r="E123" t="s">
        <v>779</v>
      </c>
    </row>
    <row r="124" spans="1:7" ht="16.5" thickBot="1" x14ac:dyDescent="0.3">
      <c r="A124" s="21" t="s">
        <v>35</v>
      </c>
      <c r="B124" s="26"/>
      <c r="D124" s="293">
        <f>SUM(D122:D123)</f>
        <v>23477000</v>
      </c>
      <c r="G124" s="537"/>
    </row>
    <row r="125" spans="1:7" ht="15.75" x14ac:dyDescent="0.25">
      <c r="A125" s="15" t="s">
        <v>474</v>
      </c>
      <c r="B125" s="500">
        <f>B118+B122</f>
        <v>479202626.00999999</v>
      </c>
    </row>
    <row r="126" spans="1:7" ht="15.75" x14ac:dyDescent="0.25">
      <c r="A126" s="12"/>
      <c r="B126" s="501">
        <f>B125</f>
        <v>479202626.00999999</v>
      </c>
    </row>
    <row r="127" spans="1:7" ht="15.75" x14ac:dyDescent="0.25">
      <c r="A127" s="1"/>
      <c r="B127" s="23"/>
    </row>
    <row r="128" spans="1:7" ht="15.75" x14ac:dyDescent="0.25">
      <c r="A128" s="12"/>
      <c r="B128" s="26"/>
    </row>
    <row r="129" spans="1:4" ht="16.5" x14ac:dyDescent="0.25">
      <c r="A129" s="22" t="s">
        <v>36</v>
      </c>
      <c r="B129" s="330">
        <f>B125</f>
        <v>479202626.00999999</v>
      </c>
    </row>
    <row r="130" spans="1:4" ht="15.75" x14ac:dyDescent="0.25">
      <c r="A130" s="10"/>
      <c r="B130" s="330"/>
    </row>
    <row r="131" spans="1:4" ht="15.75" x14ac:dyDescent="0.25">
      <c r="A131" s="10"/>
      <c r="B131" s="415"/>
    </row>
    <row r="132" spans="1:4" ht="15.75" x14ac:dyDescent="0.25">
      <c r="A132" s="128" t="s">
        <v>689</v>
      </c>
      <c r="B132" s="415"/>
    </row>
    <row r="133" spans="1:4" ht="15.75" x14ac:dyDescent="0.25">
      <c r="A133" s="535" t="s">
        <v>685</v>
      </c>
      <c r="B133" s="536">
        <f>'8.'!D6</f>
        <v>15713000</v>
      </c>
    </row>
    <row r="134" spans="1:4" ht="16.5" thickBot="1" x14ac:dyDescent="0.3">
      <c r="A134" s="537"/>
      <c r="B134" s="538"/>
    </row>
    <row r="135" spans="1:4" ht="15.75" x14ac:dyDescent="0.25">
      <c r="A135" s="539" t="s">
        <v>43</v>
      </c>
      <c r="B135" s="534">
        <f>B129+B133</f>
        <v>494915626.00999999</v>
      </c>
      <c r="D135" s="584">
        <f>B135</f>
        <v>494915626.00999999</v>
      </c>
    </row>
    <row r="136" spans="1:4" ht="15.75" x14ac:dyDescent="0.25">
      <c r="A136" s="537"/>
      <c r="B136" s="537"/>
    </row>
  </sheetData>
  <mergeCells count="1">
    <mergeCell ref="A1:B1"/>
  </mergeCells>
  <pageMargins left="0.39370078740157483" right="0.39370078740157483" top="0.55118110236220474" bottom="0.55118110236220474" header="0.31496062992125984" footer="0.31496062992125984"/>
  <pageSetup paperSize="9" orientation="portrait" r:id="rId1"/>
  <headerFooter>
    <oddHeader>&amp;R1.sz. melléklet/&amp;P.oldal</oddHeader>
  </headerFooter>
  <ignoredErrors>
    <ignoredError sqref="B4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0" sqref="C10"/>
    </sheetView>
  </sheetViews>
  <sheetFormatPr defaultRowHeight="15" x14ac:dyDescent="0.25"/>
  <cols>
    <col min="1" max="1" width="4.5703125" customWidth="1"/>
    <col min="2" max="2" width="26.28515625" customWidth="1"/>
    <col min="3" max="3" width="30.85546875" customWidth="1"/>
    <col min="4" max="4" width="13.7109375" customWidth="1"/>
    <col min="5" max="5" width="12" customWidth="1"/>
  </cols>
  <sheetData>
    <row r="1" spans="1:6" ht="42.75" customHeight="1" thickBot="1" x14ac:dyDescent="0.35">
      <c r="A1" s="596" t="s">
        <v>745</v>
      </c>
      <c r="B1" s="577" t="s">
        <v>703</v>
      </c>
      <c r="C1" s="577" t="s">
        <v>704</v>
      </c>
      <c r="D1" s="577" t="s">
        <v>729</v>
      </c>
      <c r="E1" s="578" t="s">
        <v>718</v>
      </c>
    </row>
    <row r="2" spans="1:6" ht="15.75" customHeight="1" x14ac:dyDescent="0.25">
      <c r="A2" s="595" t="s">
        <v>46</v>
      </c>
      <c r="B2" s="575" t="s">
        <v>720</v>
      </c>
      <c r="C2" s="575" t="s">
        <v>705</v>
      </c>
      <c r="D2" s="575" t="s">
        <v>706</v>
      </c>
      <c r="E2" s="576">
        <v>20000</v>
      </c>
      <c r="F2" s="537"/>
    </row>
    <row r="3" spans="1:6" ht="15.75" customHeight="1" x14ac:dyDescent="0.25">
      <c r="A3" s="590" t="s">
        <v>47</v>
      </c>
      <c r="B3" s="586" t="s">
        <v>721</v>
      </c>
      <c r="C3" s="572" t="s">
        <v>707</v>
      </c>
      <c r="D3" s="572" t="s">
        <v>708</v>
      </c>
      <c r="E3" s="574">
        <v>300000</v>
      </c>
      <c r="F3" s="537"/>
    </row>
    <row r="4" spans="1:6" ht="15.75" customHeight="1" x14ac:dyDescent="0.25">
      <c r="A4" s="590" t="s">
        <v>48</v>
      </c>
      <c r="B4" s="587" t="s">
        <v>722</v>
      </c>
      <c r="C4" s="572" t="s">
        <v>709</v>
      </c>
      <c r="D4" s="572" t="s">
        <v>710</v>
      </c>
      <c r="E4" s="574">
        <v>20000</v>
      </c>
      <c r="F4" s="537"/>
    </row>
    <row r="5" spans="1:6" ht="15.75" customHeight="1" x14ac:dyDescent="0.25">
      <c r="A5" s="590" t="s">
        <v>49</v>
      </c>
      <c r="B5" s="587" t="s">
        <v>724</v>
      </c>
      <c r="C5" s="572" t="s">
        <v>731</v>
      </c>
      <c r="D5" s="572" t="s">
        <v>723</v>
      </c>
      <c r="E5" s="574">
        <v>15000</v>
      </c>
      <c r="F5" s="537"/>
    </row>
    <row r="6" spans="1:6" ht="15.75" customHeight="1" x14ac:dyDescent="0.25">
      <c r="A6" s="590" t="s">
        <v>50</v>
      </c>
      <c r="B6" s="587" t="s">
        <v>742</v>
      </c>
      <c r="C6" s="572" t="s">
        <v>711</v>
      </c>
      <c r="D6" s="572"/>
      <c r="E6" s="574">
        <v>10000</v>
      </c>
      <c r="F6" s="537"/>
    </row>
    <row r="7" spans="1:6" ht="15.75" customHeight="1" x14ac:dyDescent="0.25">
      <c r="A7" s="590" t="s">
        <v>51</v>
      </c>
      <c r="B7" s="587" t="s">
        <v>739</v>
      </c>
      <c r="C7" s="572" t="s">
        <v>741</v>
      </c>
      <c r="D7" s="572"/>
      <c r="E7" s="574">
        <v>200000</v>
      </c>
      <c r="F7" s="537"/>
    </row>
    <row r="8" spans="1:6" ht="31.5" customHeight="1" x14ac:dyDescent="0.25">
      <c r="A8" s="590" t="s">
        <v>52</v>
      </c>
      <c r="B8" s="587" t="s">
        <v>730</v>
      </c>
      <c r="C8" s="572" t="s">
        <v>712</v>
      </c>
      <c r="D8" s="572" t="s">
        <v>716</v>
      </c>
      <c r="E8" s="574">
        <v>490000</v>
      </c>
      <c r="F8" s="537"/>
    </row>
    <row r="9" spans="1:6" ht="31.5" customHeight="1" x14ac:dyDescent="0.25">
      <c r="A9" s="590" t="s">
        <v>53</v>
      </c>
      <c r="B9" s="587" t="s">
        <v>725</v>
      </c>
      <c r="C9" s="573" t="s">
        <v>713</v>
      </c>
      <c r="D9" s="572" t="s">
        <v>714</v>
      </c>
      <c r="E9" s="574">
        <v>20000</v>
      </c>
      <c r="F9" s="537"/>
    </row>
    <row r="10" spans="1:6" ht="15.75" customHeight="1" x14ac:dyDescent="0.25">
      <c r="A10" s="590" t="s">
        <v>54</v>
      </c>
      <c r="B10" s="587" t="s">
        <v>743</v>
      </c>
      <c r="C10" s="572" t="s">
        <v>740</v>
      </c>
      <c r="D10" s="572"/>
      <c r="E10" s="574">
        <v>200000</v>
      </c>
      <c r="F10" s="537"/>
    </row>
    <row r="11" spans="1:6" ht="30.75" customHeight="1" x14ac:dyDescent="0.25">
      <c r="A11" s="590" t="s">
        <v>55</v>
      </c>
      <c r="B11" s="587" t="s">
        <v>728</v>
      </c>
      <c r="C11" s="572" t="s">
        <v>715</v>
      </c>
      <c r="D11" s="572" t="s">
        <v>716</v>
      </c>
      <c r="E11" s="574">
        <v>10000</v>
      </c>
      <c r="F11" s="537"/>
    </row>
    <row r="12" spans="1:6" ht="16.5" customHeight="1" x14ac:dyDescent="0.25">
      <c r="A12" s="590" t="s">
        <v>56</v>
      </c>
      <c r="B12" s="587" t="s">
        <v>719</v>
      </c>
      <c r="C12" s="572" t="s">
        <v>717</v>
      </c>
      <c r="D12" s="572" t="s">
        <v>706</v>
      </c>
      <c r="E12" s="574">
        <v>15000</v>
      </c>
      <c r="F12" s="537"/>
    </row>
    <row r="13" spans="1:6" ht="61.5" customHeight="1" x14ac:dyDescent="0.25">
      <c r="A13" s="590" t="s">
        <v>57</v>
      </c>
      <c r="B13" s="589" t="s">
        <v>726</v>
      </c>
      <c r="C13" s="572" t="s">
        <v>727</v>
      </c>
      <c r="D13" s="588" t="s">
        <v>706</v>
      </c>
      <c r="E13" s="574">
        <v>15000</v>
      </c>
      <c r="F13" s="537"/>
    </row>
    <row r="14" spans="1:6" ht="15.75" thickBot="1" x14ac:dyDescent="0.3">
      <c r="A14" s="591"/>
      <c r="B14" s="592"/>
      <c r="C14" s="597" t="s">
        <v>353</v>
      </c>
      <c r="D14" s="593"/>
      <c r="E14" s="594">
        <f>SUM(E2:E13)</f>
        <v>1315000</v>
      </c>
    </row>
    <row r="16" spans="1:6" ht="15.75" x14ac:dyDescent="0.25">
      <c r="D16" s="585" t="s">
        <v>744</v>
      </c>
      <c r="E16" s="583">
        <f>E14/127*100</f>
        <v>1035433.0708661417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" workbookViewId="0">
      <selection activeCell="C24" sqref="C24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5" max="5" width="9.85546875" bestFit="1" customWidth="1"/>
  </cols>
  <sheetData>
    <row r="1" spans="1:3" ht="18.75" x14ac:dyDescent="0.3">
      <c r="A1" s="623" t="s">
        <v>459</v>
      </c>
      <c r="B1" s="623"/>
      <c r="C1" s="623"/>
    </row>
    <row r="2" spans="1:3" ht="18.75" x14ac:dyDescent="0.3">
      <c r="A2" s="623">
        <v>2013</v>
      </c>
      <c r="B2" s="623"/>
      <c r="C2" s="623"/>
    </row>
    <row r="3" spans="1:3" ht="15.75" x14ac:dyDescent="0.25">
      <c r="A3" s="126"/>
      <c r="B3" s="10"/>
      <c r="C3" s="147" t="s">
        <v>37</v>
      </c>
    </row>
    <row r="4" spans="1:3" ht="15.75" x14ac:dyDescent="0.25">
      <c r="A4" s="128" t="s">
        <v>183</v>
      </c>
      <c r="B4" s="10"/>
      <c r="C4" s="147"/>
    </row>
    <row r="5" spans="1:3" ht="15.75" x14ac:dyDescent="0.25">
      <c r="A5" s="126" t="s">
        <v>46</v>
      </c>
      <c r="B5" s="148" t="s">
        <v>458</v>
      </c>
      <c r="C5" s="413">
        <v>7469000</v>
      </c>
    </row>
    <row r="6" spans="1:3" ht="15.75" x14ac:dyDescent="0.25">
      <c r="A6" s="126"/>
      <c r="B6" s="11" t="s">
        <v>184</v>
      </c>
      <c r="C6" s="414">
        <f>SUM(C5:C5)</f>
        <v>7469000</v>
      </c>
    </row>
    <row r="7" spans="1:3" ht="15.75" x14ac:dyDescent="0.25">
      <c r="A7" s="128" t="s">
        <v>185</v>
      </c>
      <c r="B7" s="10"/>
      <c r="C7" s="415"/>
    </row>
    <row r="8" spans="1:3" ht="15.75" x14ac:dyDescent="0.25">
      <c r="A8" s="126" t="s">
        <v>46</v>
      </c>
      <c r="B8" s="148" t="s">
        <v>261</v>
      </c>
      <c r="C8" s="413">
        <v>0</v>
      </c>
    </row>
    <row r="9" spans="1:3" ht="15.75" x14ac:dyDescent="0.25">
      <c r="A9" s="126" t="s">
        <v>47</v>
      </c>
      <c r="B9" s="149" t="s">
        <v>262</v>
      </c>
      <c r="C9" s="413">
        <v>1100000</v>
      </c>
    </row>
    <row r="10" spans="1:3" ht="15.75" x14ac:dyDescent="0.25">
      <c r="A10" s="126" t="s">
        <v>48</v>
      </c>
      <c r="B10" s="149" t="s">
        <v>263</v>
      </c>
      <c r="C10" s="416">
        <v>0</v>
      </c>
    </row>
    <row r="11" spans="1:3" ht="15.75" x14ac:dyDescent="0.25">
      <c r="A11" s="126"/>
      <c r="B11" s="11" t="s">
        <v>265</v>
      </c>
      <c r="C11" s="330">
        <f>SUM(C8:C10)</f>
        <v>1100000</v>
      </c>
    </row>
    <row r="12" spans="1:3" ht="15.75" x14ac:dyDescent="0.25">
      <c r="A12" s="128" t="s">
        <v>186</v>
      </c>
      <c r="B12" s="10"/>
      <c r="C12" s="415"/>
    </row>
    <row r="13" spans="1:3" ht="15.75" x14ac:dyDescent="0.25">
      <c r="A13" s="126" t="s">
        <v>46</v>
      </c>
      <c r="B13" s="132" t="s">
        <v>268</v>
      </c>
      <c r="C13" s="416"/>
    </row>
    <row r="14" spans="1:3" ht="16.5" thickBot="1" x14ac:dyDescent="0.3">
      <c r="A14" s="133"/>
      <c r="B14" s="134" t="s">
        <v>269</v>
      </c>
      <c r="C14" s="330">
        <f>SUM(C13:C13)</f>
        <v>0</v>
      </c>
    </row>
    <row r="15" spans="1:3" ht="16.5" x14ac:dyDescent="0.25">
      <c r="A15" s="150" t="s">
        <v>187</v>
      </c>
      <c r="B15" s="151"/>
      <c r="C15" s="417">
        <f>C6+C11+C14</f>
        <v>8569000</v>
      </c>
    </row>
    <row r="16" spans="1:3" ht="15.75" x14ac:dyDescent="0.25">
      <c r="A16" s="128" t="s">
        <v>188</v>
      </c>
      <c r="B16" s="10"/>
      <c r="C16" s="415"/>
    </row>
    <row r="17" spans="1:6" ht="15.75" x14ac:dyDescent="0.25">
      <c r="A17" s="126" t="s">
        <v>46</v>
      </c>
      <c r="B17" s="10" t="s">
        <v>270</v>
      </c>
      <c r="C17" s="413">
        <f>ROUND(SUM(C15,)*0.27,-3)</f>
        <v>2314000</v>
      </c>
      <c r="F17" s="413"/>
    </row>
    <row r="18" spans="1:6" ht="15.75" x14ac:dyDescent="0.25">
      <c r="A18" s="138"/>
      <c r="B18" s="134" t="s">
        <v>189</v>
      </c>
      <c r="C18" s="414">
        <f>SUM(C17:C17)</f>
        <v>2314000</v>
      </c>
    </row>
    <row r="19" spans="1:6" ht="15.75" x14ac:dyDescent="0.25">
      <c r="A19" s="128" t="s">
        <v>190</v>
      </c>
      <c r="B19" s="10"/>
      <c r="C19" s="415"/>
      <c r="E19" t="s">
        <v>623</v>
      </c>
    </row>
    <row r="20" spans="1:6" ht="15.75" x14ac:dyDescent="0.25">
      <c r="A20" s="126" t="s">
        <v>46</v>
      </c>
      <c r="B20" s="10" t="s">
        <v>191</v>
      </c>
      <c r="C20" s="413">
        <v>20000</v>
      </c>
      <c r="E20" s="295">
        <f>C20</f>
        <v>20000</v>
      </c>
    </row>
    <row r="21" spans="1:6" ht="15.75" x14ac:dyDescent="0.25">
      <c r="A21" s="126" t="s">
        <v>47</v>
      </c>
      <c r="B21" s="10" t="s">
        <v>461</v>
      </c>
      <c r="C21" s="413">
        <v>220000</v>
      </c>
      <c r="E21" s="295">
        <f t="shared" ref="E21:E26" si="0">C21</f>
        <v>220000</v>
      </c>
    </row>
    <row r="22" spans="1:6" ht="15.75" x14ac:dyDescent="0.25">
      <c r="A22" s="126" t="s">
        <v>48</v>
      </c>
      <c r="B22" s="10" t="s">
        <v>462</v>
      </c>
      <c r="C22" s="413">
        <v>50000</v>
      </c>
      <c r="E22" s="295">
        <f t="shared" si="0"/>
        <v>50000</v>
      </c>
    </row>
    <row r="23" spans="1:6" ht="15.75" x14ac:dyDescent="0.25">
      <c r="A23" s="126" t="s">
        <v>49</v>
      </c>
      <c r="B23" s="10" t="s">
        <v>460</v>
      </c>
      <c r="C23" s="413">
        <v>800000</v>
      </c>
      <c r="E23" s="295">
        <f t="shared" si="0"/>
        <v>800000</v>
      </c>
    </row>
    <row r="24" spans="1:6" ht="15.75" x14ac:dyDescent="0.25">
      <c r="A24" s="126" t="s">
        <v>50</v>
      </c>
      <c r="B24" s="10" t="s">
        <v>571</v>
      </c>
      <c r="C24" s="413">
        <v>30541000</v>
      </c>
      <c r="E24" s="295">
        <f t="shared" si="0"/>
        <v>30541000</v>
      </c>
    </row>
    <row r="25" spans="1:6" ht="15.75" x14ac:dyDescent="0.25">
      <c r="A25" s="126" t="s">
        <v>51</v>
      </c>
      <c r="B25" s="10" t="s">
        <v>614</v>
      </c>
      <c r="C25" s="413">
        <v>0</v>
      </c>
      <c r="E25" s="295">
        <f t="shared" si="0"/>
        <v>0</v>
      </c>
    </row>
    <row r="26" spans="1:6" ht="15.75" x14ac:dyDescent="0.25">
      <c r="A26" s="126" t="s">
        <v>52</v>
      </c>
      <c r="B26" s="10" t="s">
        <v>463</v>
      </c>
      <c r="C26" s="416">
        <v>100000</v>
      </c>
      <c r="E26" s="295">
        <f t="shared" si="0"/>
        <v>100000</v>
      </c>
    </row>
    <row r="27" spans="1:6" ht="15.75" x14ac:dyDescent="0.25">
      <c r="A27" s="126"/>
      <c r="B27" s="11" t="s">
        <v>195</v>
      </c>
      <c r="C27" s="27">
        <f>SUM(C20:C26)</f>
        <v>31731000</v>
      </c>
      <c r="E27" s="295"/>
    </row>
    <row r="28" spans="1:6" ht="15.75" x14ac:dyDescent="0.25">
      <c r="A28" s="126" t="s">
        <v>53</v>
      </c>
      <c r="B28" s="10" t="s">
        <v>455</v>
      </c>
      <c r="C28" s="413">
        <v>110000</v>
      </c>
      <c r="E28" s="295">
        <f>C28</f>
        <v>110000</v>
      </c>
    </row>
    <row r="29" spans="1:6" ht="15.75" x14ac:dyDescent="0.25">
      <c r="A29" s="126" t="s">
        <v>54</v>
      </c>
      <c r="B29" s="10" t="s">
        <v>199</v>
      </c>
      <c r="C29" s="413">
        <v>5060000</v>
      </c>
      <c r="E29" s="295">
        <f t="shared" ref="E29:E34" si="1">C29</f>
        <v>5060000</v>
      </c>
    </row>
    <row r="30" spans="1:6" ht="15.75" x14ac:dyDescent="0.25">
      <c r="A30" s="126" t="s">
        <v>55</v>
      </c>
      <c r="B30" s="10" t="s">
        <v>200</v>
      </c>
      <c r="C30" s="413">
        <v>2520000</v>
      </c>
      <c r="E30" s="295">
        <f t="shared" si="1"/>
        <v>2520000</v>
      </c>
    </row>
    <row r="31" spans="1:6" ht="15.75" x14ac:dyDescent="0.25">
      <c r="A31" s="126" t="s">
        <v>56</v>
      </c>
      <c r="B31" s="10" t="s">
        <v>201</v>
      </c>
      <c r="C31" s="413">
        <v>450000</v>
      </c>
      <c r="E31" s="295">
        <f t="shared" si="1"/>
        <v>450000</v>
      </c>
    </row>
    <row r="32" spans="1:6" ht="15.75" x14ac:dyDescent="0.25">
      <c r="A32" s="126" t="s">
        <v>57</v>
      </c>
      <c r="B32" s="10" t="s">
        <v>272</v>
      </c>
      <c r="C32" s="413">
        <v>360000</v>
      </c>
      <c r="E32" s="295">
        <f t="shared" si="1"/>
        <v>360000</v>
      </c>
    </row>
    <row r="33" spans="1:5" ht="15.75" x14ac:dyDescent="0.25">
      <c r="A33" s="126" t="s">
        <v>58</v>
      </c>
      <c r="B33" s="10" t="s">
        <v>202</v>
      </c>
      <c r="C33" s="413">
        <v>100000</v>
      </c>
      <c r="E33" s="295"/>
    </row>
    <row r="34" spans="1:5" ht="15.75" x14ac:dyDescent="0.25">
      <c r="A34" s="126" t="s">
        <v>59</v>
      </c>
      <c r="B34" s="10" t="s">
        <v>203</v>
      </c>
      <c r="C34" s="413">
        <v>100000</v>
      </c>
      <c r="E34" s="295">
        <f t="shared" si="1"/>
        <v>100000</v>
      </c>
    </row>
    <row r="35" spans="1:5" ht="15.75" x14ac:dyDescent="0.25">
      <c r="A35" s="126"/>
      <c r="B35" s="10" t="s">
        <v>547</v>
      </c>
      <c r="C35" s="416"/>
      <c r="E35" s="295"/>
    </row>
    <row r="36" spans="1:5" ht="16.5" thickBot="1" x14ac:dyDescent="0.3">
      <c r="A36" s="126"/>
      <c r="B36" s="11" t="s">
        <v>206</v>
      </c>
      <c r="C36" s="27">
        <f>SUM(C28:C35)</f>
        <v>8700000</v>
      </c>
      <c r="E36" s="295"/>
    </row>
    <row r="37" spans="1:5" ht="16.5" thickBot="1" x14ac:dyDescent="0.3">
      <c r="A37" s="126" t="s">
        <v>59</v>
      </c>
      <c r="B37" s="10" t="s">
        <v>625</v>
      </c>
      <c r="C37" s="413">
        <f>E37</f>
        <v>10889000</v>
      </c>
      <c r="E37" s="469">
        <f>ROUND((SUM(E20:E36)*0.27),-3)</f>
        <v>10889000</v>
      </c>
    </row>
    <row r="38" spans="1:5" ht="15.75" x14ac:dyDescent="0.25">
      <c r="A38" s="126" t="s">
        <v>60</v>
      </c>
      <c r="B38" s="10" t="s">
        <v>566</v>
      </c>
      <c r="C38" s="413">
        <f>'2_A'!C24-C37</f>
        <v>1294306.6600000001</v>
      </c>
    </row>
    <row r="39" spans="1:5" ht="15.75" x14ac:dyDescent="0.25">
      <c r="A39" s="126"/>
      <c r="B39" s="10" t="str">
        <f>CONCATENATE("/ Befizetendő ÁFA: (",DOLLAR('2_A'!C24,-3),") - Levonható ÁFA: (",DOLLAR('6_B_Konyha'!C37,-3), ") = ",DOLLAR(('2_A'!C24-'6_B_Konyha'!C37),-3), " /",)</f>
        <v>/ Befizetendő ÁFA: (12 183 000 Ft) - Levonható ÁFA: (10 889 000 Ft) = 1 294 000 Ft /</v>
      </c>
      <c r="C39" s="413"/>
    </row>
    <row r="40" spans="1:5" ht="15.75" x14ac:dyDescent="0.25">
      <c r="A40" s="126" t="s">
        <v>61</v>
      </c>
      <c r="B40" s="10" t="s">
        <v>209</v>
      </c>
      <c r="C40" s="413"/>
    </row>
    <row r="41" spans="1:5" ht="15.75" x14ac:dyDescent="0.25">
      <c r="A41" s="126" t="s">
        <v>127</v>
      </c>
      <c r="B41" s="10" t="s">
        <v>210</v>
      </c>
      <c r="C41" s="416">
        <v>120000</v>
      </c>
    </row>
    <row r="42" spans="1:5" ht="15.75" x14ac:dyDescent="0.25">
      <c r="A42" s="126"/>
      <c r="B42" s="11" t="s">
        <v>211</v>
      </c>
      <c r="C42" s="27">
        <f>SUM(C37:C41)</f>
        <v>12303306.66</v>
      </c>
    </row>
    <row r="43" spans="1:5" ht="15.75" x14ac:dyDescent="0.25">
      <c r="A43" s="126" t="s">
        <v>129</v>
      </c>
      <c r="B43" s="10" t="s">
        <v>212</v>
      </c>
      <c r="C43" s="413"/>
    </row>
    <row r="44" spans="1:5" ht="16.5" thickBot="1" x14ac:dyDescent="0.3">
      <c r="A44" s="133"/>
      <c r="B44" s="134" t="s">
        <v>216</v>
      </c>
      <c r="C44" s="414">
        <f>SUM(C43:C43)</f>
        <v>0</v>
      </c>
    </row>
    <row r="45" spans="1:5" ht="15.75" x14ac:dyDescent="0.25">
      <c r="A45" s="126"/>
      <c r="B45" s="128" t="s">
        <v>217</v>
      </c>
      <c r="C45" s="417">
        <f>SUM(C27,C36,C42,C44)</f>
        <v>52734306.659999996</v>
      </c>
    </row>
    <row r="46" spans="1:5" ht="16.5" thickBot="1" x14ac:dyDescent="0.3">
      <c r="A46" s="126"/>
      <c r="B46" s="10"/>
      <c r="C46" s="413"/>
    </row>
    <row r="47" spans="1:5" ht="16.5" x14ac:dyDescent="0.25">
      <c r="A47" s="627" t="s">
        <v>273</v>
      </c>
      <c r="B47" s="627"/>
      <c r="C47" s="433">
        <f>C15+C18+C45</f>
        <v>63617306.659999996</v>
      </c>
    </row>
    <row r="48" spans="1:5" ht="15.75" x14ac:dyDescent="0.25">
      <c r="A48" s="151"/>
      <c r="B48" s="132"/>
      <c r="C48" s="27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&amp;R6./B. sz. melléklet / &amp;P.oldal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sqref="A1:C1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8" max="8" width="14.140625" customWidth="1"/>
    <col min="14" max="14" width="11.140625" customWidth="1"/>
  </cols>
  <sheetData>
    <row r="1" spans="1:3" ht="18.75" x14ac:dyDescent="0.3">
      <c r="A1" s="623" t="s">
        <v>464</v>
      </c>
      <c r="B1" s="623"/>
      <c r="C1" s="623"/>
    </row>
    <row r="2" spans="1:3" ht="18.75" x14ac:dyDescent="0.3">
      <c r="A2" s="623">
        <v>2013</v>
      </c>
      <c r="B2" s="623"/>
      <c r="C2" s="623"/>
    </row>
    <row r="3" spans="1:3" ht="15.75" x14ac:dyDescent="0.25">
      <c r="A3" s="126"/>
      <c r="B3" s="10"/>
      <c r="C3" s="147" t="s">
        <v>37</v>
      </c>
    </row>
    <row r="4" spans="1:3" ht="15.75" x14ac:dyDescent="0.25">
      <c r="A4" s="128" t="s">
        <v>183</v>
      </c>
      <c r="B4" s="10"/>
      <c r="C4" s="147"/>
    </row>
    <row r="5" spans="1:3" ht="15.75" x14ac:dyDescent="0.25">
      <c r="A5" s="126" t="s">
        <v>46</v>
      </c>
      <c r="B5" s="148" t="s">
        <v>458</v>
      </c>
      <c r="C5" s="413">
        <v>18193000</v>
      </c>
    </row>
    <row r="6" spans="1:3" ht="15.75" x14ac:dyDescent="0.25">
      <c r="A6" s="126" t="s">
        <v>47</v>
      </c>
      <c r="B6" s="148" t="s">
        <v>567</v>
      </c>
      <c r="C6" s="413">
        <v>150000</v>
      </c>
    </row>
    <row r="7" spans="1:3" ht="15.75" x14ac:dyDescent="0.25">
      <c r="A7" s="126"/>
      <c r="B7" s="11" t="s">
        <v>184</v>
      </c>
      <c r="C7" s="414">
        <f>SUM(C5:C6)</f>
        <v>18343000</v>
      </c>
    </row>
    <row r="8" spans="1:3" ht="15.75" x14ac:dyDescent="0.25">
      <c r="A8" s="128" t="s">
        <v>185</v>
      </c>
      <c r="B8" s="10"/>
      <c r="C8" s="415"/>
    </row>
    <row r="9" spans="1:3" ht="15.75" x14ac:dyDescent="0.25">
      <c r="A9" s="126" t="s">
        <v>46</v>
      </c>
      <c r="B9" s="148" t="s">
        <v>568</v>
      </c>
      <c r="C9" s="413">
        <v>1270000</v>
      </c>
    </row>
    <row r="10" spans="1:3" ht="15.75" x14ac:dyDescent="0.25">
      <c r="A10" s="126" t="s">
        <v>47</v>
      </c>
      <c r="B10" s="148" t="s">
        <v>260</v>
      </c>
      <c r="C10" s="413">
        <v>100000</v>
      </c>
    </row>
    <row r="11" spans="1:3" ht="15.75" x14ac:dyDescent="0.25">
      <c r="A11" s="126" t="s">
        <v>48</v>
      </c>
      <c r="B11" s="148" t="s">
        <v>261</v>
      </c>
      <c r="C11" s="416">
        <v>0</v>
      </c>
    </row>
    <row r="12" spans="1:3" ht="15.75" x14ac:dyDescent="0.25">
      <c r="A12" s="126"/>
      <c r="B12" s="11" t="s">
        <v>265</v>
      </c>
      <c r="C12" s="330">
        <f>SUM(C9:C11)</f>
        <v>1370000</v>
      </c>
    </row>
    <row r="13" spans="1:3" ht="15.75" x14ac:dyDescent="0.25">
      <c r="A13" s="128" t="s">
        <v>186</v>
      </c>
      <c r="B13" s="10"/>
      <c r="C13" s="415"/>
    </row>
    <row r="14" spans="1:3" ht="15.75" x14ac:dyDescent="0.25">
      <c r="A14" s="126" t="s">
        <v>48</v>
      </c>
      <c r="B14" s="132" t="s">
        <v>268</v>
      </c>
      <c r="C14" s="416"/>
    </row>
    <row r="15" spans="1:3" ht="16.5" thickBot="1" x14ac:dyDescent="0.3">
      <c r="A15" s="133"/>
      <c r="B15" s="134" t="s">
        <v>269</v>
      </c>
      <c r="C15" s="330">
        <f>SUM(C14:C14)</f>
        <v>0</v>
      </c>
    </row>
    <row r="16" spans="1:3" ht="16.5" x14ac:dyDescent="0.25">
      <c r="A16" s="150" t="s">
        <v>187</v>
      </c>
      <c r="B16" s="151"/>
      <c r="C16" s="417">
        <f>C7+C12+C15</f>
        <v>19713000</v>
      </c>
    </row>
    <row r="17" spans="1:5" ht="15.75" x14ac:dyDescent="0.25">
      <c r="A17" s="126"/>
      <c r="B17" s="10"/>
      <c r="C17" s="415"/>
    </row>
    <row r="18" spans="1:5" ht="15.75" x14ac:dyDescent="0.25">
      <c r="A18" s="128" t="s">
        <v>188</v>
      </c>
      <c r="B18" s="10"/>
      <c r="C18" s="415"/>
    </row>
    <row r="19" spans="1:5" ht="15.75" x14ac:dyDescent="0.25">
      <c r="A19" s="126" t="s">
        <v>46</v>
      </c>
      <c r="B19" s="10" t="s">
        <v>270</v>
      </c>
      <c r="C19" s="413">
        <f>ROUND(SUM(C7,C9,)*0.27,-3)</f>
        <v>5296000</v>
      </c>
      <c r="E19" s="413"/>
    </row>
    <row r="20" spans="1:5" ht="15.75" x14ac:dyDescent="0.25">
      <c r="A20" s="138"/>
      <c r="B20" s="134" t="s">
        <v>189</v>
      </c>
      <c r="C20" s="414">
        <f>SUM(C19:C19)</f>
        <v>5296000</v>
      </c>
    </row>
    <row r="21" spans="1:5" ht="15.75" x14ac:dyDescent="0.25">
      <c r="A21" s="10"/>
      <c r="B21" s="135"/>
      <c r="C21" s="330"/>
    </row>
    <row r="22" spans="1:5" ht="15.75" x14ac:dyDescent="0.25">
      <c r="A22" s="128" t="s">
        <v>190</v>
      </c>
      <c r="B22" s="10"/>
      <c r="C22" s="415"/>
      <c r="E22" t="s">
        <v>623</v>
      </c>
    </row>
    <row r="23" spans="1:5" ht="15.75" x14ac:dyDescent="0.25">
      <c r="A23" s="126" t="s">
        <v>46</v>
      </c>
      <c r="B23" s="10" t="s">
        <v>191</v>
      </c>
      <c r="C23" s="413">
        <v>40000</v>
      </c>
      <c r="E23" s="457">
        <f>C23</f>
        <v>40000</v>
      </c>
    </row>
    <row r="24" spans="1:5" ht="15.75" x14ac:dyDescent="0.25">
      <c r="A24" s="126" t="s">
        <v>47</v>
      </c>
      <c r="B24" s="10" t="s">
        <v>192</v>
      </c>
      <c r="C24" s="413">
        <v>50000</v>
      </c>
      <c r="E24" s="457">
        <f t="shared" ref="E24:E30" si="0">C24</f>
        <v>50000</v>
      </c>
    </row>
    <row r="25" spans="1:5" ht="15.75" x14ac:dyDescent="0.25">
      <c r="A25" s="126" t="s">
        <v>48</v>
      </c>
      <c r="B25" s="10" t="s">
        <v>461</v>
      </c>
      <c r="C25" s="413">
        <v>40000</v>
      </c>
      <c r="E25" s="457">
        <f t="shared" si="0"/>
        <v>40000</v>
      </c>
    </row>
    <row r="26" spans="1:5" ht="15.75" x14ac:dyDescent="0.25">
      <c r="A26" s="126" t="s">
        <v>49</v>
      </c>
      <c r="B26" s="10" t="s">
        <v>462</v>
      </c>
      <c r="C26" s="413">
        <v>100000</v>
      </c>
      <c r="E26" s="457">
        <f t="shared" si="0"/>
        <v>100000</v>
      </c>
    </row>
    <row r="27" spans="1:5" ht="15.75" x14ac:dyDescent="0.25">
      <c r="A27" s="126" t="s">
        <v>50</v>
      </c>
      <c r="B27" s="10" t="s">
        <v>569</v>
      </c>
      <c r="C27" s="416">
        <v>950000</v>
      </c>
      <c r="E27" s="457">
        <f t="shared" si="0"/>
        <v>950000</v>
      </c>
    </row>
    <row r="28" spans="1:5" ht="15.75" x14ac:dyDescent="0.25">
      <c r="A28" s="126"/>
      <c r="B28" s="11" t="s">
        <v>195</v>
      </c>
      <c r="C28" s="27">
        <f>SUM(C23:C27)</f>
        <v>1180000</v>
      </c>
      <c r="E28" s="457"/>
    </row>
    <row r="29" spans="1:5" ht="15.75" x14ac:dyDescent="0.25">
      <c r="A29" s="126" t="s">
        <v>51</v>
      </c>
      <c r="B29" s="10" t="s">
        <v>455</v>
      </c>
      <c r="C29" s="413">
        <v>272000</v>
      </c>
      <c r="E29" s="457">
        <f t="shared" si="0"/>
        <v>272000</v>
      </c>
    </row>
    <row r="30" spans="1:5" ht="15.75" x14ac:dyDescent="0.25">
      <c r="A30" s="126" t="s">
        <v>52</v>
      </c>
      <c r="B30" s="10" t="s">
        <v>199</v>
      </c>
      <c r="C30" s="413">
        <v>1500000</v>
      </c>
      <c r="E30" s="457">
        <f t="shared" si="0"/>
        <v>1500000</v>
      </c>
    </row>
    <row r="31" spans="1:5" ht="15.75" x14ac:dyDescent="0.25">
      <c r="A31" s="126" t="s">
        <v>53</v>
      </c>
      <c r="B31" s="10" t="s">
        <v>200</v>
      </c>
      <c r="C31" s="413">
        <v>523000</v>
      </c>
      <c r="E31" s="457">
        <f>C31</f>
        <v>523000</v>
      </c>
    </row>
    <row r="32" spans="1:5" ht="15.75" x14ac:dyDescent="0.25">
      <c r="A32" s="126" t="s">
        <v>54</v>
      </c>
      <c r="B32" s="10" t="s">
        <v>201</v>
      </c>
      <c r="C32" s="413">
        <v>250000</v>
      </c>
      <c r="E32" s="457">
        <f t="shared" ref="E32:E37" si="1">C32</f>
        <v>250000</v>
      </c>
    </row>
    <row r="33" spans="1:16" ht="15.75" x14ac:dyDescent="0.25">
      <c r="A33" s="126" t="s">
        <v>55</v>
      </c>
      <c r="B33" s="10" t="s">
        <v>272</v>
      </c>
      <c r="C33" s="413">
        <v>2400000</v>
      </c>
      <c r="E33" s="457">
        <f t="shared" si="1"/>
        <v>2400000</v>
      </c>
    </row>
    <row r="34" spans="1:16" s="12" customFormat="1" ht="15.75" x14ac:dyDescent="0.25">
      <c r="A34" s="126" t="s">
        <v>56</v>
      </c>
      <c r="B34" s="12" t="s">
        <v>608</v>
      </c>
      <c r="C34" s="413">
        <v>6063000</v>
      </c>
      <c r="E34" s="457">
        <f t="shared" si="1"/>
        <v>6063000</v>
      </c>
    </row>
    <row r="35" spans="1:16" s="12" customFormat="1" ht="15.75" x14ac:dyDescent="0.25">
      <c r="A35" s="126" t="s">
        <v>57</v>
      </c>
      <c r="B35" s="12" t="s">
        <v>607</v>
      </c>
      <c r="C35" s="413">
        <v>10000000</v>
      </c>
      <c r="E35" s="457">
        <f t="shared" si="1"/>
        <v>10000000</v>
      </c>
    </row>
    <row r="36" spans="1:16" ht="15.75" x14ac:dyDescent="0.25">
      <c r="A36" s="126" t="s">
        <v>58</v>
      </c>
      <c r="B36" s="10" t="s">
        <v>202</v>
      </c>
      <c r="C36" s="413">
        <v>100000</v>
      </c>
      <c r="E36" s="457"/>
    </row>
    <row r="37" spans="1:16" ht="15.75" x14ac:dyDescent="0.25">
      <c r="A37" s="126" t="s">
        <v>59</v>
      </c>
      <c r="B37" s="10" t="s">
        <v>203</v>
      </c>
      <c r="C37" s="413">
        <v>237000</v>
      </c>
      <c r="E37" s="457">
        <f t="shared" si="1"/>
        <v>237000</v>
      </c>
    </row>
    <row r="38" spans="1:16" ht="15.75" x14ac:dyDescent="0.25">
      <c r="A38" s="126"/>
      <c r="B38" s="10" t="s">
        <v>547</v>
      </c>
      <c r="C38" s="416"/>
      <c r="H38" s="457"/>
      <c r="I38" s="457"/>
      <c r="J38" s="457"/>
      <c r="K38" s="295"/>
      <c r="L38" s="295"/>
      <c r="M38" s="295"/>
      <c r="N38" s="295"/>
      <c r="P38" s="461"/>
    </row>
    <row r="39" spans="1:16" ht="16.5" thickBot="1" x14ac:dyDescent="0.3">
      <c r="A39" s="126"/>
      <c r="B39" s="11" t="s">
        <v>206</v>
      </c>
      <c r="C39" s="27">
        <f>SUM(C29:C38)</f>
        <v>21345000</v>
      </c>
      <c r="H39" s="457"/>
      <c r="I39" s="457"/>
      <c r="J39" s="457"/>
      <c r="K39" s="295"/>
      <c r="L39" s="295"/>
      <c r="M39" s="295"/>
      <c r="N39" s="295"/>
      <c r="P39" s="461"/>
    </row>
    <row r="40" spans="1:16" ht="16.5" thickBot="1" x14ac:dyDescent="0.3">
      <c r="A40" s="126" t="s">
        <v>60</v>
      </c>
      <c r="B40" s="10" t="s">
        <v>625</v>
      </c>
      <c r="C40" s="413">
        <f>E40</f>
        <v>6055000</v>
      </c>
      <c r="E40" s="466">
        <f>ROUND((SUM(E23:E38)*0.27),-3)</f>
        <v>6055000</v>
      </c>
      <c r="H40" s="457"/>
      <c r="I40" s="457"/>
      <c r="J40" s="457"/>
      <c r="K40" s="295"/>
      <c r="L40" s="295"/>
      <c r="M40" s="295"/>
      <c r="N40" s="295"/>
      <c r="P40" s="461"/>
    </row>
    <row r="41" spans="1:16" ht="15.75" x14ac:dyDescent="0.25">
      <c r="A41" s="126" t="s">
        <v>61</v>
      </c>
      <c r="B41" s="10" t="s">
        <v>566</v>
      </c>
      <c r="C41" s="413">
        <f>'2_A'!C39-C40</f>
        <v>944508.34999999963</v>
      </c>
      <c r="H41" s="457"/>
      <c r="I41" s="457"/>
      <c r="J41" s="457"/>
    </row>
    <row r="42" spans="1:16" ht="15.75" x14ac:dyDescent="0.25">
      <c r="A42" s="126"/>
      <c r="B42" s="10" t="str">
        <f>CONCATENATE("/ Befizetendő ÁFA: (",DOLLAR('2_A'!C39,-3),") - Levonható ÁFA: (",DOLLAR(C40,-3), ") = ",DOLLAR(('2_A'!C39-C40),-3), " /",)</f>
        <v>/ Befizetendő ÁFA: (7 000 000 Ft) - Levonható ÁFA: (6 055 000 Ft) = 945 000 Ft /</v>
      </c>
      <c r="C42" s="413"/>
    </row>
    <row r="43" spans="1:16" ht="15.75" x14ac:dyDescent="0.25">
      <c r="A43" s="126" t="s">
        <v>127</v>
      </c>
      <c r="B43" s="10" t="s">
        <v>209</v>
      </c>
      <c r="C43" s="413">
        <v>90000</v>
      </c>
    </row>
    <row r="44" spans="1:16" ht="15.75" x14ac:dyDescent="0.25">
      <c r="A44" s="126" t="s">
        <v>129</v>
      </c>
      <c r="B44" s="10" t="s">
        <v>210</v>
      </c>
      <c r="C44" s="416">
        <v>200000</v>
      </c>
    </row>
    <row r="45" spans="1:16" ht="15.75" x14ac:dyDescent="0.25">
      <c r="A45" s="126"/>
      <c r="B45" s="11" t="s">
        <v>211</v>
      </c>
      <c r="C45" s="27">
        <f>SUM(C40:C44)</f>
        <v>7289508.3499999996</v>
      </c>
    </row>
    <row r="46" spans="1:16" ht="15.75" x14ac:dyDescent="0.25">
      <c r="A46" s="126" t="s">
        <v>130</v>
      </c>
      <c r="B46" s="10" t="s">
        <v>212</v>
      </c>
      <c r="C46" s="413"/>
      <c r="E46" s="128"/>
      <c r="F46" s="284"/>
      <c r="H46" s="284"/>
    </row>
    <row r="47" spans="1:16" ht="16.5" thickBot="1" x14ac:dyDescent="0.3">
      <c r="A47" s="133"/>
      <c r="B47" s="134" t="s">
        <v>216</v>
      </c>
      <c r="C47" s="414">
        <f>SUM(C46:C46)</f>
        <v>0</v>
      </c>
    </row>
    <row r="48" spans="1:16" ht="15.75" x14ac:dyDescent="0.25">
      <c r="A48" s="126"/>
      <c r="B48" s="128" t="s">
        <v>217</v>
      </c>
      <c r="C48" s="417">
        <f>SUM(C28,C39,C45,C47)</f>
        <v>29814508.350000001</v>
      </c>
    </row>
    <row r="49" spans="1:3" ht="16.5" thickBot="1" x14ac:dyDescent="0.3">
      <c r="A49" s="126"/>
      <c r="B49" s="10"/>
      <c r="C49" s="413"/>
    </row>
    <row r="50" spans="1:3" ht="16.5" x14ac:dyDescent="0.25">
      <c r="A50" s="627" t="s">
        <v>273</v>
      </c>
      <c r="B50" s="627"/>
      <c r="C50" s="433">
        <f>C16+C20+C48</f>
        <v>54823508.350000001</v>
      </c>
    </row>
    <row r="51" spans="1:3" ht="15.75" x14ac:dyDescent="0.25">
      <c r="A51" s="151"/>
      <c r="B51" s="132"/>
      <c r="C51" s="27"/>
    </row>
  </sheetData>
  <mergeCells count="3">
    <mergeCell ref="A1:C1"/>
    <mergeCell ref="A2:C2"/>
    <mergeCell ref="A50:B50"/>
  </mergeCells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&amp;R6./C. sz. melléklet / 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F42" sqref="F42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5" max="5" width="9.85546875" bestFit="1" customWidth="1"/>
    <col min="6" max="6" width="12.5703125" customWidth="1"/>
    <col min="7" max="7" width="9.85546875" bestFit="1" customWidth="1"/>
    <col min="12" max="12" width="18.7109375" customWidth="1"/>
    <col min="13" max="13" width="14.5703125" customWidth="1"/>
  </cols>
  <sheetData>
    <row r="1" spans="1:7" ht="18.75" x14ac:dyDescent="0.3">
      <c r="A1" s="623" t="s">
        <v>692</v>
      </c>
      <c r="B1" s="623"/>
      <c r="C1" s="623"/>
    </row>
    <row r="2" spans="1:7" ht="18.75" x14ac:dyDescent="0.3">
      <c r="A2" s="623">
        <v>2013</v>
      </c>
      <c r="B2" s="623"/>
      <c r="C2" s="623"/>
    </row>
    <row r="3" spans="1:7" ht="15.75" x14ac:dyDescent="0.25">
      <c r="A3" s="126"/>
      <c r="B3" s="10"/>
      <c r="C3" s="147" t="s">
        <v>37</v>
      </c>
      <c r="E3" s="329"/>
      <c r="F3" s="329"/>
      <c r="G3" s="329"/>
    </row>
    <row r="4" spans="1:7" ht="15.75" x14ac:dyDescent="0.25">
      <c r="A4" s="128" t="s">
        <v>183</v>
      </c>
      <c r="B4" s="10"/>
      <c r="C4" s="147"/>
      <c r="E4" s="329"/>
      <c r="F4" s="329"/>
      <c r="G4" s="329"/>
    </row>
    <row r="5" spans="1:7" ht="15.75" x14ac:dyDescent="0.25">
      <c r="A5" s="126" t="s">
        <v>46</v>
      </c>
      <c r="B5" s="148" t="s">
        <v>458</v>
      </c>
      <c r="C5" s="413">
        <v>9575000</v>
      </c>
      <c r="E5" s="329"/>
      <c r="F5" s="326"/>
      <c r="G5" s="329"/>
    </row>
    <row r="6" spans="1:7" ht="15.75" x14ac:dyDescent="0.25">
      <c r="A6" s="126"/>
      <c r="B6" s="11" t="s">
        <v>184</v>
      </c>
      <c r="C6" s="414">
        <f>SUM(C5:C5)</f>
        <v>9575000</v>
      </c>
      <c r="E6" s="329"/>
      <c r="F6" s="326"/>
      <c r="G6" s="329"/>
    </row>
    <row r="7" spans="1:7" ht="15.75" x14ac:dyDescent="0.25">
      <c r="A7" s="128" t="s">
        <v>185</v>
      </c>
      <c r="B7" s="10"/>
      <c r="C7" s="415"/>
      <c r="E7" s="329"/>
      <c r="F7" s="326"/>
      <c r="G7" s="329"/>
    </row>
    <row r="8" spans="1:7" ht="15.75" x14ac:dyDescent="0.25">
      <c r="A8" s="126" t="s">
        <v>46</v>
      </c>
      <c r="B8" s="149" t="s">
        <v>263</v>
      </c>
      <c r="C8" s="413">
        <v>0</v>
      </c>
      <c r="E8" s="329"/>
      <c r="F8" s="329"/>
      <c r="G8" s="329"/>
    </row>
    <row r="9" spans="1:7" ht="15.75" x14ac:dyDescent="0.25">
      <c r="A9" s="126" t="s">
        <v>47</v>
      </c>
      <c r="B9" s="149" t="s">
        <v>264</v>
      </c>
      <c r="C9" s="416"/>
      <c r="E9" s="329"/>
      <c r="F9" s="329"/>
      <c r="G9" s="329"/>
    </row>
    <row r="10" spans="1:7" ht="15.75" x14ac:dyDescent="0.25">
      <c r="A10" s="126"/>
      <c r="B10" s="11" t="s">
        <v>265</v>
      </c>
      <c r="C10" s="330">
        <f>SUM(C8:C9)</f>
        <v>0</v>
      </c>
    </row>
    <row r="11" spans="1:7" ht="15.75" x14ac:dyDescent="0.25">
      <c r="A11" s="128" t="s">
        <v>186</v>
      </c>
      <c r="B11" s="10"/>
      <c r="C11" s="415"/>
    </row>
    <row r="12" spans="1:7" ht="15.75" x14ac:dyDescent="0.25">
      <c r="A12" s="126" t="s">
        <v>46</v>
      </c>
      <c r="B12" s="132" t="s">
        <v>268</v>
      </c>
      <c r="C12" s="416"/>
      <c r="E12" s="295"/>
    </row>
    <row r="13" spans="1:7" ht="15.75" x14ac:dyDescent="0.25">
      <c r="A13" s="133"/>
      <c r="B13" s="134" t="s">
        <v>269</v>
      </c>
      <c r="C13" s="330">
        <f>SUM(C12:C12)</f>
        <v>0</v>
      </c>
    </row>
    <row r="14" spans="1:7" ht="16.5" thickBot="1" x14ac:dyDescent="0.3">
      <c r="A14" s="126"/>
      <c r="B14" s="10"/>
      <c r="C14" s="415"/>
    </row>
    <row r="15" spans="1:7" ht="16.5" x14ac:dyDescent="0.25">
      <c r="A15" s="150" t="s">
        <v>187</v>
      </c>
      <c r="B15" s="151"/>
      <c r="C15" s="417">
        <f>C6+C10+C13</f>
        <v>9575000</v>
      </c>
    </row>
    <row r="16" spans="1:7" ht="15.75" x14ac:dyDescent="0.25">
      <c r="A16" s="126"/>
      <c r="B16" s="10"/>
      <c r="C16" s="415"/>
    </row>
    <row r="17" spans="1:13" ht="15.75" x14ac:dyDescent="0.25">
      <c r="A17" s="128" t="s">
        <v>188</v>
      </c>
      <c r="B17" s="10"/>
      <c r="C17" s="415"/>
    </row>
    <row r="18" spans="1:13" ht="15.75" x14ac:dyDescent="0.25">
      <c r="A18" s="126" t="s">
        <v>46</v>
      </c>
      <c r="B18" s="10" t="s">
        <v>270</v>
      </c>
      <c r="C18" s="413">
        <f>ROUND(SUM(C15,)*0.27,-3)</f>
        <v>2585000</v>
      </c>
      <c r="E18" s="413"/>
    </row>
    <row r="19" spans="1:13" ht="15.75" x14ac:dyDescent="0.25">
      <c r="A19" s="138"/>
      <c r="B19" s="134" t="s">
        <v>189</v>
      </c>
      <c r="C19" s="414">
        <f>SUM(C18:C18)</f>
        <v>2585000</v>
      </c>
    </row>
    <row r="20" spans="1:13" ht="15.75" x14ac:dyDescent="0.25">
      <c r="A20" s="10"/>
      <c r="B20" s="135"/>
      <c r="C20" s="330"/>
    </row>
    <row r="21" spans="1:13" ht="15.75" x14ac:dyDescent="0.25">
      <c r="A21" s="128" t="s">
        <v>190</v>
      </c>
      <c r="B21" s="10"/>
      <c r="C21" s="415"/>
      <c r="E21" t="s">
        <v>623</v>
      </c>
      <c r="F21" s="298"/>
      <c r="G21" s="295">
        <v>7267266</v>
      </c>
      <c r="M21" s="291"/>
    </row>
    <row r="22" spans="1:13" ht="15.75" x14ac:dyDescent="0.25">
      <c r="A22" s="126" t="s">
        <v>46</v>
      </c>
      <c r="B22" s="10" t="s">
        <v>191</v>
      </c>
      <c r="C22" s="413">
        <v>40000</v>
      </c>
      <c r="E22" s="295">
        <f>C22</f>
        <v>40000</v>
      </c>
      <c r="M22" s="291"/>
    </row>
    <row r="23" spans="1:13" ht="15.75" x14ac:dyDescent="0.25">
      <c r="A23" s="126" t="s">
        <v>47</v>
      </c>
      <c r="B23" s="10" t="s">
        <v>192</v>
      </c>
      <c r="C23" s="413">
        <v>0</v>
      </c>
      <c r="E23" s="295">
        <f t="shared" ref="E23:E35" si="0">C23</f>
        <v>0</v>
      </c>
      <c r="G23" s="295"/>
      <c r="H23" s="295">
        <f t="shared" ref="H23:H28" si="1">G23*0.27</f>
        <v>0</v>
      </c>
    </row>
    <row r="24" spans="1:13" ht="15.75" x14ac:dyDescent="0.25">
      <c r="A24" s="126" t="s">
        <v>48</v>
      </c>
      <c r="B24" s="10" t="s">
        <v>461</v>
      </c>
      <c r="C24" s="413">
        <v>240000</v>
      </c>
      <c r="E24" s="295">
        <f t="shared" si="0"/>
        <v>240000</v>
      </c>
      <c r="G24" s="295">
        <v>200000</v>
      </c>
      <c r="H24" s="295">
        <f t="shared" si="1"/>
        <v>54000</v>
      </c>
    </row>
    <row r="25" spans="1:13" ht="15.75" x14ac:dyDescent="0.25">
      <c r="A25" s="126" t="s">
        <v>49</v>
      </c>
      <c r="B25" s="10" t="s">
        <v>462</v>
      </c>
      <c r="C25" s="413">
        <v>100000</v>
      </c>
      <c r="E25" s="295">
        <f t="shared" si="0"/>
        <v>100000</v>
      </c>
      <c r="G25" s="295"/>
      <c r="H25" s="295">
        <f t="shared" si="1"/>
        <v>0</v>
      </c>
      <c r="M25" s="291"/>
    </row>
    <row r="26" spans="1:13" ht="15.75" x14ac:dyDescent="0.25">
      <c r="A26" s="126" t="s">
        <v>50</v>
      </c>
      <c r="B26" s="10" t="s">
        <v>572</v>
      </c>
      <c r="C26" s="416">
        <v>80000</v>
      </c>
      <c r="E26" s="295">
        <f t="shared" si="0"/>
        <v>80000</v>
      </c>
      <c r="G26" s="295"/>
      <c r="H26" s="295">
        <f t="shared" si="1"/>
        <v>0</v>
      </c>
    </row>
    <row r="27" spans="1:13" ht="15.75" x14ac:dyDescent="0.25">
      <c r="A27" s="126"/>
      <c r="B27" s="11" t="s">
        <v>195</v>
      </c>
      <c r="C27" s="27">
        <f>SUM(C22:C26)</f>
        <v>460000</v>
      </c>
      <c r="E27" s="295"/>
      <c r="G27" s="295"/>
      <c r="H27" s="295">
        <f t="shared" si="1"/>
        <v>0</v>
      </c>
    </row>
    <row r="28" spans="1:13" ht="15.75" x14ac:dyDescent="0.25">
      <c r="A28" s="126" t="s">
        <v>51</v>
      </c>
      <c r="B28" s="10" t="s">
        <v>455</v>
      </c>
      <c r="C28" s="413">
        <v>80000</v>
      </c>
      <c r="E28" s="295">
        <f t="shared" si="0"/>
        <v>80000</v>
      </c>
      <c r="G28" s="295"/>
      <c r="H28" s="295">
        <f t="shared" si="1"/>
        <v>0</v>
      </c>
    </row>
    <row r="29" spans="1:13" ht="15.75" x14ac:dyDescent="0.25">
      <c r="A29" s="126" t="s">
        <v>52</v>
      </c>
      <c r="B29" s="10" t="s">
        <v>199</v>
      </c>
      <c r="C29" s="413">
        <v>4018000</v>
      </c>
      <c r="E29" s="295">
        <f t="shared" si="0"/>
        <v>4018000</v>
      </c>
      <c r="G29" s="295">
        <v>3200000</v>
      </c>
      <c r="H29" s="295">
        <f>G29*0.27</f>
        <v>864000</v>
      </c>
    </row>
    <row r="30" spans="1:13" ht="15.75" x14ac:dyDescent="0.25">
      <c r="A30" s="126" t="s">
        <v>53</v>
      </c>
      <c r="B30" s="10" t="s">
        <v>200</v>
      </c>
      <c r="C30" s="413">
        <v>1040000</v>
      </c>
      <c r="E30" s="295">
        <f t="shared" si="0"/>
        <v>1040000</v>
      </c>
      <c r="G30" s="295">
        <v>840000</v>
      </c>
      <c r="H30" s="295">
        <f t="shared" ref="H30:H37" si="2">G30*0.27</f>
        <v>226800.00000000003</v>
      </c>
    </row>
    <row r="31" spans="1:13" ht="15.75" x14ac:dyDescent="0.25">
      <c r="A31" s="126" t="s">
        <v>54</v>
      </c>
      <c r="B31" s="10" t="s">
        <v>201</v>
      </c>
      <c r="C31" s="413">
        <v>190000</v>
      </c>
      <c r="E31" s="295">
        <f t="shared" si="0"/>
        <v>190000</v>
      </c>
      <c r="G31" s="295">
        <v>160000</v>
      </c>
      <c r="H31" s="295">
        <f t="shared" si="2"/>
        <v>43200</v>
      </c>
    </row>
    <row r="32" spans="1:13" ht="15.75" x14ac:dyDescent="0.25">
      <c r="A32" s="126" t="s">
        <v>55</v>
      </c>
      <c r="B32" s="10" t="s">
        <v>272</v>
      </c>
      <c r="C32" s="413">
        <v>1088000</v>
      </c>
      <c r="E32" s="295">
        <f t="shared" si="0"/>
        <v>1088000</v>
      </c>
      <c r="G32" s="295">
        <v>1000000</v>
      </c>
      <c r="H32" s="295">
        <f t="shared" si="2"/>
        <v>270000</v>
      </c>
    </row>
    <row r="33" spans="1:9" s="12" customFormat="1" ht="15.75" x14ac:dyDescent="0.25">
      <c r="A33" s="126" t="s">
        <v>56</v>
      </c>
      <c r="B33" s="12" t="s">
        <v>204</v>
      </c>
      <c r="C33" s="413">
        <v>0</v>
      </c>
      <c r="E33" s="295">
        <f t="shared" si="0"/>
        <v>0</v>
      </c>
      <c r="G33" s="606"/>
      <c r="H33" s="295">
        <f t="shared" si="2"/>
        <v>0</v>
      </c>
    </row>
    <row r="34" spans="1:9" ht="15.75" x14ac:dyDescent="0.25">
      <c r="A34" s="126" t="s">
        <v>57</v>
      </c>
      <c r="B34" s="10" t="s">
        <v>202</v>
      </c>
      <c r="C34" s="413">
        <v>284266</v>
      </c>
      <c r="E34" s="295"/>
      <c r="G34" s="295">
        <v>244266</v>
      </c>
      <c r="H34" s="295"/>
    </row>
    <row r="35" spans="1:9" ht="15.75" x14ac:dyDescent="0.25">
      <c r="A35" s="126" t="s">
        <v>58</v>
      </c>
      <c r="B35" s="10" t="s">
        <v>203</v>
      </c>
      <c r="C35" s="413">
        <v>180000</v>
      </c>
      <c r="E35" s="295">
        <f t="shared" si="0"/>
        <v>180000</v>
      </c>
      <c r="G35" s="295">
        <v>130000</v>
      </c>
      <c r="H35" s="295">
        <f t="shared" si="2"/>
        <v>35100</v>
      </c>
    </row>
    <row r="36" spans="1:9" ht="15.75" x14ac:dyDescent="0.25">
      <c r="A36" s="126"/>
      <c r="B36" s="10" t="s">
        <v>547</v>
      </c>
      <c r="C36" s="416"/>
      <c r="E36" s="295">
        <f t="shared" ref="E36" si="3">C36</f>
        <v>0</v>
      </c>
      <c r="G36" s="295"/>
      <c r="H36" s="295">
        <f t="shared" si="2"/>
        <v>0</v>
      </c>
    </row>
    <row r="37" spans="1:9" ht="16.5" thickBot="1" x14ac:dyDescent="0.3">
      <c r="A37" s="126"/>
      <c r="B37" s="11" t="s">
        <v>206</v>
      </c>
      <c r="C37" s="27">
        <f>SUM(C28:C36)</f>
        <v>6880266</v>
      </c>
      <c r="E37" s="295"/>
      <c r="G37" s="295"/>
      <c r="H37" s="295">
        <f t="shared" si="2"/>
        <v>0</v>
      </c>
    </row>
    <row r="38" spans="1:9" ht="16.5" thickBot="1" x14ac:dyDescent="0.3">
      <c r="A38" s="126" t="s">
        <v>59</v>
      </c>
      <c r="B38" s="10" t="s">
        <v>207</v>
      </c>
      <c r="C38" s="413">
        <f>E38</f>
        <v>1905000</v>
      </c>
      <c r="E38" s="469">
        <f>ROUND((SUM(E22:E36)*0.27),-3)</f>
        <v>1905000</v>
      </c>
      <c r="G38" s="295">
        <f>SUM(G22:G37)</f>
        <v>5774266</v>
      </c>
      <c r="H38" s="295">
        <f>SUM(H22:H37)</f>
        <v>1493100</v>
      </c>
      <c r="I38" s="295">
        <f>SUM(G38:H38)</f>
        <v>7267366</v>
      </c>
    </row>
    <row r="39" spans="1:9" ht="15.75" x14ac:dyDescent="0.25">
      <c r="A39" s="126" t="s">
        <v>60</v>
      </c>
      <c r="B39" s="10" t="s">
        <v>566</v>
      </c>
      <c r="C39" s="413">
        <v>0</v>
      </c>
      <c r="I39" s="295">
        <f>G21-I38</f>
        <v>-100</v>
      </c>
    </row>
    <row r="40" spans="1:9" ht="15.75" x14ac:dyDescent="0.25">
      <c r="A40" s="126" t="s">
        <v>61</v>
      </c>
      <c r="B40" s="10" t="s">
        <v>209</v>
      </c>
      <c r="C40" s="413">
        <v>0</v>
      </c>
    </row>
    <row r="41" spans="1:9" ht="15.75" x14ac:dyDescent="0.25">
      <c r="A41" s="126" t="s">
        <v>127</v>
      </c>
      <c r="B41" s="10" t="s">
        <v>210</v>
      </c>
      <c r="C41" s="416">
        <v>20000</v>
      </c>
    </row>
    <row r="42" spans="1:9" ht="15.75" x14ac:dyDescent="0.25">
      <c r="A42" s="126"/>
      <c r="B42" s="11" t="s">
        <v>211</v>
      </c>
      <c r="C42" s="27">
        <f>SUM(C38:C41)</f>
        <v>1925000</v>
      </c>
    </row>
    <row r="43" spans="1:9" ht="15.75" x14ac:dyDescent="0.25">
      <c r="A43" s="126" t="s">
        <v>129</v>
      </c>
      <c r="B43" s="10" t="s">
        <v>212</v>
      </c>
      <c r="C43" s="413"/>
      <c r="E43" s="128"/>
      <c r="F43" s="284"/>
      <c r="H43" s="284"/>
    </row>
    <row r="44" spans="1:9" ht="16.5" thickBot="1" x14ac:dyDescent="0.3">
      <c r="A44" s="133"/>
      <c r="B44" s="134" t="s">
        <v>216</v>
      </c>
      <c r="C44" s="414">
        <f>SUM(C43)</f>
        <v>0</v>
      </c>
    </row>
    <row r="45" spans="1:9" ht="15.75" x14ac:dyDescent="0.25">
      <c r="A45" s="126"/>
      <c r="B45" s="128" t="s">
        <v>217</v>
      </c>
      <c r="C45" s="417">
        <f>SUM(C27,C37,C42,C44)</f>
        <v>9265266</v>
      </c>
    </row>
    <row r="46" spans="1:9" ht="16.5" thickBot="1" x14ac:dyDescent="0.3">
      <c r="A46" s="126"/>
      <c r="B46" s="10"/>
      <c r="C46" s="413"/>
    </row>
    <row r="47" spans="1:9" ht="16.5" x14ac:dyDescent="0.25">
      <c r="A47" s="627" t="s">
        <v>273</v>
      </c>
      <c r="B47" s="627"/>
      <c r="C47" s="433">
        <f>C15+C19+C45</f>
        <v>21425266</v>
      </c>
      <c r="E47" s="295"/>
      <c r="F47" s="295">
        <v>14158000</v>
      </c>
      <c r="G47" s="295">
        <f>F47+G21</f>
        <v>21425266</v>
      </c>
    </row>
    <row r="48" spans="1:9" x14ac:dyDescent="0.25">
      <c r="F48" s="295">
        <f>C47</f>
        <v>21425266</v>
      </c>
      <c r="H48" s="295">
        <f>G47-F48</f>
        <v>0</v>
      </c>
    </row>
    <row r="49" spans="7:7" x14ac:dyDescent="0.25">
      <c r="G49" s="295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&amp;R6./D. sz. melléklet / &amp;P.oldal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F13" sqref="F13"/>
    </sheetView>
  </sheetViews>
  <sheetFormatPr defaultRowHeight="15" x14ac:dyDescent="0.25"/>
  <cols>
    <col min="1" max="1" width="3.42578125" style="272" customWidth="1"/>
    <col min="2" max="2" width="54.42578125" customWidth="1"/>
    <col min="3" max="3" width="12.5703125" customWidth="1"/>
  </cols>
  <sheetData>
    <row r="1" spans="1:3" ht="18.75" x14ac:dyDescent="0.25">
      <c r="A1" s="628" t="s">
        <v>440</v>
      </c>
      <c r="B1" s="628"/>
      <c r="C1" s="628"/>
    </row>
    <row r="2" spans="1:3" ht="15.75" x14ac:dyDescent="0.25">
      <c r="A2" s="263"/>
      <c r="B2" s="95"/>
      <c r="C2" s="95" t="s">
        <v>152</v>
      </c>
    </row>
    <row r="3" spans="1:3" ht="15.75" x14ac:dyDescent="0.25">
      <c r="A3" s="264"/>
      <c r="B3" s="98" t="s">
        <v>97</v>
      </c>
      <c r="C3" s="99" t="s">
        <v>119</v>
      </c>
    </row>
    <row r="4" spans="1:3" ht="15.75" x14ac:dyDescent="0.25">
      <c r="A4" s="265"/>
      <c r="B4" s="100"/>
      <c r="C4" s="101"/>
    </row>
    <row r="5" spans="1:3" ht="15.75" x14ac:dyDescent="0.25">
      <c r="A5" s="296" t="s">
        <v>153</v>
      </c>
      <c r="B5" s="95"/>
      <c r="C5" s="96"/>
    </row>
    <row r="6" spans="1:3" ht="15.75" x14ac:dyDescent="0.25">
      <c r="A6" s="263" t="s">
        <v>46</v>
      </c>
      <c r="B6" s="102" t="s">
        <v>426</v>
      </c>
      <c r="C6" s="373"/>
    </row>
    <row r="7" spans="1:3" ht="15.75" x14ac:dyDescent="0.25">
      <c r="A7" s="263" t="s">
        <v>154</v>
      </c>
      <c r="B7" s="103" t="s">
        <v>168</v>
      </c>
      <c r="C7" s="375"/>
    </row>
    <row r="8" spans="1:3" ht="15.75" x14ac:dyDescent="0.25">
      <c r="A8" s="629" t="s">
        <v>476</v>
      </c>
      <c r="B8" s="629"/>
      <c r="C8" s="376">
        <f>SUM(C7:C7)</f>
        <v>0</v>
      </c>
    </row>
    <row r="9" spans="1:3" ht="15.75" x14ac:dyDescent="0.25">
      <c r="A9" s="266" t="s">
        <v>47</v>
      </c>
      <c r="B9" s="104" t="s">
        <v>423</v>
      </c>
      <c r="C9" s="377"/>
    </row>
    <row r="10" spans="1:3" ht="15.75" x14ac:dyDescent="0.25">
      <c r="A10" s="263" t="s">
        <v>154</v>
      </c>
      <c r="B10" s="103" t="s">
        <v>169</v>
      </c>
      <c r="C10" s="375">
        <v>0</v>
      </c>
    </row>
    <row r="11" spans="1:3" ht="15.75" x14ac:dyDescent="0.25">
      <c r="A11" s="629" t="s">
        <v>427</v>
      </c>
      <c r="B11" s="629"/>
      <c r="C11" s="378">
        <f>SUM(C10:C10)</f>
        <v>0</v>
      </c>
    </row>
    <row r="12" spans="1:3" ht="15.75" x14ac:dyDescent="0.25">
      <c r="A12" s="263" t="s">
        <v>49</v>
      </c>
      <c r="B12" s="102" t="s">
        <v>433</v>
      </c>
      <c r="C12" s="373"/>
    </row>
    <row r="13" spans="1:3" ht="15.75" x14ac:dyDescent="0.25">
      <c r="A13" s="267" t="s">
        <v>154</v>
      </c>
      <c r="B13" s="106" t="s">
        <v>170</v>
      </c>
      <c r="C13" s="379"/>
    </row>
    <row r="14" spans="1:3" ht="15.75" x14ac:dyDescent="0.25">
      <c r="A14" s="268"/>
      <c r="B14" s="257" t="s">
        <v>442</v>
      </c>
      <c r="C14" s="378">
        <f>SUM(C13:C13)</f>
        <v>0</v>
      </c>
    </row>
    <row r="15" spans="1:3" ht="15.75" x14ac:dyDescent="0.25">
      <c r="A15" s="263" t="s">
        <v>49</v>
      </c>
      <c r="B15" s="102" t="s">
        <v>171</v>
      </c>
      <c r="C15" s="373"/>
    </row>
    <row r="16" spans="1:3" ht="15.75" x14ac:dyDescent="0.25">
      <c r="A16" s="267" t="s">
        <v>154</v>
      </c>
      <c r="B16" s="106" t="s">
        <v>170</v>
      </c>
      <c r="C16" s="379"/>
    </row>
    <row r="17" spans="1:3" ht="15.75" x14ac:dyDescent="0.25">
      <c r="A17" s="268"/>
      <c r="B17" s="107" t="s">
        <v>172</v>
      </c>
      <c r="C17" s="378">
        <f>SUM(C16:C16)</f>
        <v>0</v>
      </c>
    </row>
    <row r="18" spans="1:3" ht="15.75" x14ac:dyDescent="0.25">
      <c r="A18" s="266" t="s">
        <v>50</v>
      </c>
      <c r="B18" s="109" t="s">
        <v>428</v>
      </c>
      <c r="C18" s="381"/>
    </row>
    <row r="19" spans="1:3" ht="15.75" x14ac:dyDescent="0.25">
      <c r="A19" s="269" t="s">
        <v>154</v>
      </c>
      <c r="B19" s="110" t="s">
        <v>174</v>
      </c>
      <c r="C19" s="377"/>
    </row>
    <row r="20" spans="1:3" ht="15.75" x14ac:dyDescent="0.25">
      <c r="A20" s="629" t="s">
        <v>429</v>
      </c>
      <c r="B20" s="629"/>
      <c r="C20" s="378">
        <f>SUM(C19:C19)</f>
        <v>0</v>
      </c>
    </row>
    <row r="21" spans="1:3" ht="15.75" x14ac:dyDescent="0.25">
      <c r="A21" s="263" t="s">
        <v>51</v>
      </c>
      <c r="B21" s="102" t="s">
        <v>155</v>
      </c>
      <c r="C21" s="373"/>
    </row>
    <row r="22" spans="1:3" ht="15.75" x14ac:dyDescent="0.25">
      <c r="A22" s="263" t="s">
        <v>154</v>
      </c>
      <c r="B22" s="495" t="str">
        <f>'5.'!B100</f>
        <v>Strand</v>
      </c>
      <c r="C22" s="496">
        <f>'5.'!C100</f>
        <v>44752000</v>
      </c>
    </row>
    <row r="23" spans="1:3" ht="15.75" x14ac:dyDescent="0.25">
      <c r="A23" s="263" t="s">
        <v>154</v>
      </c>
      <c r="B23" s="495" t="str">
        <f>'5.'!B101</f>
        <v>Orvosi rendelő átalkítás mozgáskorlátozottak részére</v>
      </c>
      <c r="C23" s="496">
        <f>'5.'!C101</f>
        <v>2300000</v>
      </c>
    </row>
    <row r="24" spans="1:3" ht="15.75" x14ac:dyDescent="0.25">
      <c r="A24" s="263" t="s">
        <v>154</v>
      </c>
      <c r="B24" s="495" t="str">
        <f>'5.'!B102</f>
        <v>Beruházási ÁFA</v>
      </c>
      <c r="C24" s="375">
        <f>'5.'!C102</f>
        <v>12704000</v>
      </c>
    </row>
    <row r="25" spans="1:3" ht="15.75" x14ac:dyDescent="0.25">
      <c r="A25" s="629" t="s">
        <v>156</v>
      </c>
      <c r="B25" s="629"/>
      <c r="C25" s="378">
        <f>SUM(C22:C24)</f>
        <v>59756000</v>
      </c>
    </row>
    <row r="26" spans="1:3" ht="15.75" x14ac:dyDescent="0.25">
      <c r="A26" s="263"/>
      <c r="B26" s="108"/>
      <c r="C26" s="373"/>
    </row>
    <row r="27" spans="1:3" ht="16.5" thickBot="1" x14ac:dyDescent="0.3">
      <c r="A27" s="270"/>
      <c r="B27" s="113" t="s">
        <v>157</v>
      </c>
      <c r="C27" s="382">
        <f>SUM(C8+C11+C17+C25)</f>
        <v>59756000</v>
      </c>
    </row>
    <row r="28" spans="1:3" ht="15.75" x14ac:dyDescent="0.25">
      <c r="A28" s="266"/>
      <c r="B28" s="105"/>
      <c r="C28" s="380"/>
    </row>
    <row r="29" spans="1:3" ht="15.75" x14ac:dyDescent="0.25">
      <c r="A29" s="296" t="s">
        <v>158</v>
      </c>
      <c r="B29" s="95"/>
      <c r="C29" s="373"/>
    </row>
    <row r="30" spans="1:3" ht="15.75" x14ac:dyDescent="0.25">
      <c r="A30" s="263" t="s">
        <v>46</v>
      </c>
      <c r="B30" s="102" t="s">
        <v>422</v>
      </c>
      <c r="C30" s="373"/>
    </row>
    <row r="31" spans="1:3" ht="15.75" x14ac:dyDescent="0.25">
      <c r="A31" s="263" t="s">
        <v>154</v>
      </c>
      <c r="B31" s="103" t="s">
        <v>167</v>
      </c>
      <c r="C31" s="374"/>
    </row>
    <row r="32" spans="1:3" ht="15.75" x14ac:dyDescent="0.25">
      <c r="A32" s="629" t="s">
        <v>430</v>
      </c>
      <c r="B32" s="629"/>
      <c r="C32" s="376">
        <f>SUM(C31:C31)</f>
        <v>0</v>
      </c>
    </row>
    <row r="33" spans="1:3" ht="15.75" x14ac:dyDescent="0.25">
      <c r="A33" s="266" t="s">
        <v>47</v>
      </c>
      <c r="B33" s="104" t="s">
        <v>423</v>
      </c>
      <c r="C33" s="377"/>
    </row>
    <row r="34" spans="1:3" ht="15.75" x14ac:dyDescent="0.25">
      <c r="A34" s="263" t="s">
        <v>154</v>
      </c>
      <c r="B34" s="103" t="s">
        <v>169</v>
      </c>
      <c r="C34" s="375">
        <v>0</v>
      </c>
    </row>
    <row r="35" spans="1:3" ht="15.75" x14ac:dyDescent="0.25">
      <c r="A35" s="629" t="s">
        <v>431</v>
      </c>
      <c r="B35" s="629"/>
      <c r="C35" s="378">
        <f>SUM(C34:C34)</f>
        <v>0</v>
      </c>
    </row>
    <row r="36" spans="1:3" ht="15.75" x14ac:dyDescent="0.25">
      <c r="A36" s="263">
        <v>3</v>
      </c>
      <c r="B36" s="102" t="s">
        <v>433</v>
      </c>
      <c r="C36" s="373"/>
    </row>
    <row r="37" spans="1:3" ht="15.75" x14ac:dyDescent="0.25">
      <c r="A37" s="267" t="s">
        <v>154</v>
      </c>
      <c r="B37" s="106" t="s">
        <v>170</v>
      </c>
      <c r="C37" s="379"/>
    </row>
    <row r="38" spans="1:3" ht="15.75" x14ac:dyDescent="0.25">
      <c r="A38" s="268"/>
      <c r="B38" s="257" t="s">
        <v>443</v>
      </c>
      <c r="C38" s="378">
        <f>SUM(C37:C37)</f>
        <v>0</v>
      </c>
    </row>
    <row r="39" spans="1:3" ht="15.75" x14ac:dyDescent="0.25">
      <c r="A39" s="263">
        <v>3</v>
      </c>
      <c r="B39" s="102" t="s">
        <v>171</v>
      </c>
      <c r="C39" s="373"/>
    </row>
    <row r="40" spans="1:3" ht="15.75" x14ac:dyDescent="0.25">
      <c r="A40" s="267" t="s">
        <v>154</v>
      </c>
      <c r="B40" s="106" t="s">
        <v>170</v>
      </c>
      <c r="C40" s="379"/>
    </row>
    <row r="41" spans="1:3" ht="15.75" x14ac:dyDescent="0.25">
      <c r="A41" s="268"/>
      <c r="B41" s="107" t="s">
        <v>175</v>
      </c>
      <c r="C41" s="378">
        <f>SUM(C40:C40)</f>
        <v>0</v>
      </c>
    </row>
    <row r="42" spans="1:3" ht="15.75" x14ac:dyDescent="0.25">
      <c r="A42" s="266">
        <v>4</v>
      </c>
      <c r="B42" s="109" t="s">
        <v>251</v>
      </c>
      <c r="C42" s="381"/>
    </row>
    <row r="43" spans="1:3" ht="15.75" x14ac:dyDescent="0.25">
      <c r="A43" s="269" t="s">
        <v>154</v>
      </c>
      <c r="B43" s="110" t="s">
        <v>174</v>
      </c>
      <c r="C43" s="377"/>
    </row>
    <row r="44" spans="1:3" ht="15.75" x14ac:dyDescent="0.25">
      <c r="A44" s="629" t="s">
        <v>432</v>
      </c>
      <c r="B44" s="629"/>
      <c r="C44" s="378">
        <f>SUM(C43:C43)</f>
        <v>0</v>
      </c>
    </row>
    <row r="45" spans="1:3" ht="15.75" x14ac:dyDescent="0.25">
      <c r="A45" s="263">
        <v>5</v>
      </c>
      <c r="B45" s="102" t="s">
        <v>155</v>
      </c>
      <c r="C45" s="373"/>
    </row>
    <row r="46" spans="1:3" ht="15.75" x14ac:dyDescent="0.25">
      <c r="A46" s="263" t="s">
        <v>154</v>
      </c>
      <c r="B46" s="103" t="s">
        <v>173</v>
      </c>
      <c r="C46" s="375"/>
    </row>
    <row r="47" spans="1:3" ht="15.75" x14ac:dyDescent="0.25">
      <c r="A47" s="629" t="s">
        <v>159</v>
      </c>
      <c r="B47" s="629"/>
      <c r="C47" s="378">
        <f>SUM(C46:C46)</f>
        <v>0</v>
      </c>
    </row>
    <row r="48" spans="1:3" ht="15.75" x14ac:dyDescent="0.25">
      <c r="A48" s="263"/>
      <c r="B48" s="111"/>
      <c r="C48" s="373"/>
    </row>
    <row r="49" spans="1:3" ht="16.5" thickBot="1" x14ac:dyDescent="0.3">
      <c r="A49" s="270"/>
      <c r="B49" s="113" t="s">
        <v>160</v>
      </c>
      <c r="C49" s="382">
        <f>SUM(C32,C35,C41,C47)</f>
        <v>0</v>
      </c>
    </row>
    <row r="50" spans="1:3" ht="15.75" x14ac:dyDescent="0.25">
      <c r="A50" s="266"/>
      <c r="B50" s="105"/>
      <c r="C50" s="380"/>
    </row>
    <row r="51" spans="1:3" ht="15.75" x14ac:dyDescent="0.25">
      <c r="A51" s="630" t="s">
        <v>161</v>
      </c>
      <c r="B51" s="630"/>
      <c r="C51" s="377"/>
    </row>
    <row r="52" spans="1:3" ht="31.5" x14ac:dyDescent="0.25">
      <c r="A52" s="263" t="s">
        <v>154</v>
      </c>
      <c r="B52" s="108" t="s">
        <v>162</v>
      </c>
      <c r="C52" s="373">
        <v>0</v>
      </c>
    </row>
    <row r="53" spans="1:3" ht="15.75" x14ac:dyDescent="0.25">
      <c r="A53" s="263" t="s">
        <v>154</v>
      </c>
      <c r="B53" s="108" t="s">
        <v>163</v>
      </c>
      <c r="C53" s="373"/>
    </row>
    <row r="54" spans="1:3" ht="15.75" x14ac:dyDescent="0.25">
      <c r="A54" s="263" t="s">
        <v>154</v>
      </c>
      <c r="B54" s="108" t="s">
        <v>164</v>
      </c>
      <c r="C54" s="373"/>
    </row>
    <row r="55" spans="1:3" ht="31.5" x14ac:dyDescent="0.25">
      <c r="A55" s="263" t="s">
        <v>154</v>
      </c>
      <c r="B55" s="436" t="str">
        <f>'5.'!B109</f>
        <v>Tápiómenti Települések Csatornamű Vízgazdálkodási-társulása önrész biztosítása</v>
      </c>
      <c r="C55" s="373">
        <f>'5.'!C109</f>
        <v>3254000</v>
      </c>
    </row>
    <row r="56" spans="1:3" ht="16.5" thickBot="1" x14ac:dyDescent="0.3">
      <c r="A56" s="270"/>
      <c r="B56" s="113" t="s">
        <v>165</v>
      </c>
      <c r="C56" s="383">
        <f>SUM(C52:C55)</f>
        <v>3254000</v>
      </c>
    </row>
    <row r="57" spans="1:3" ht="15.75" x14ac:dyDescent="0.25">
      <c r="A57" s="263"/>
      <c r="B57" s="95"/>
      <c r="C57" s="373"/>
    </row>
    <row r="58" spans="1:3" ht="15.75" x14ac:dyDescent="0.25">
      <c r="A58" s="263"/>
      <c r="B58" s="95"/>
      <c r="C58" s="373"/>
    </row>
    <row r="59" spans="1:3" ht="16.5" thickBot="1" x14ac:dyDescent="0.3">
      <c r="A59" s="271"/>
      <c r="B59" s="112" t="s">
        <v>166</v>
      </c>
      <c r="C59" s="384">
        <f>SUM(C27,C49,C56)</f>
        <v>63010000</v>
      </c>
    </row>
    <row r="60" spans="1:3" ht="16.5" thickTop="1" x14ac:dyDescent="0.25">
      <c r="A60" s="263"/>
      <c r="B60" s="103"/>
      <c r="C60" s="95"/>
    </row>
  </sheetData>
  <mergeCells count="10">
    <mergeCell ref="A1:C1"/>
    <mergeCell ref="A8:B8"/>
    <mergeCell ref="A11:B11"/>
    <mergeCell ref="A25:B25"/>
    <mergeCell ref="A51:B51"/>
    <mergeCell ref="A20:B20"/>
    <mergeCell ref="A32:B32"/>
    <mergeCell ref="A35:B35"/>
    <mergeCell ref="A44:B44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&amp;R7. sz. melléklet / &amp;P.oldal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8" sqref="B18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85546875" bestFit="1" customWidth="1"/>
  </cols>
  <sheetData>
    <row r="1" spans="1:7" ht="18.75" x14ac:dyDescent="0.3">
      <c r="A1" s="631" t="s">
        <v>470</v>
      </c>
      <c r="B1" s="631"/>
      <c r="C1" s="631"/>
      <c r="D1" s="631"/>
      <c r="E1" s="631"/>
    </row>
    <row r="2" spans="1:7" ht="15.75" x14ac:dyDescent="0.25">
      <c r="A2" s="114"/>
      <c r="B2" s="12"/>
      <c r="C2" s="12"/>
      <c r="D2" s="12"/>
      <c r="E2" s="12"/>
    </row>
    <row r="3" spans="1:7" ht="15.75" x14ac:dyDescent="0.25">
      <c r="A3" s="114"/>
      <c r="B3" s="12"/>
      <c r="C3" s="12"/>
      <c r="D3" s="12"/>
      <c r="E3" s="97" t="s">
        <v>37</v>
      </c>
    </row>
    <row r="4" spans="1:7" ht="31.5" x14ac:dyDescent="0.25">
      <c r="A4" s="115" t="s">
        <v>176</v>
      </c>
      <c r="B4" s="115" t="s">
        <v>177</v>
      </c>
      <c r="C4" s="115" t="s">
        <v>178</v>
      </c>
      <c r="D4" s="115" t="s">
        <v>179</v>
      </c>
      <c r="E4" s="115" t="s">
        <v>180</v>
      </c>
    </row>
    <row r="5" spans="1:7" ht="15.75" x14ac:dyDescent="0.25">
      <c r="A5" s="116" t="s">
        <v>75</v>
      </c>
      <c r="B5" s="117" t="s">
        <v>181</v>
      </c>
      <c r="C5" s="118"/>
      <c r="D5" s="118"/>
      <c r="E5" s="118"/>
    </row>
    <row r="6" spans="1:7" ht="16.5" thickBot="1" x14ac:dyDescent="0.3">
      <c r="A6" s="124" t="s">
        <v>46</v>
      </c>
      <c r="B6" s="125" t="s">
        <v>441</v>
      </c>
      <c r="C6" s="385">
        <v>41122000</v>
      </c>
      <c r="D6" s="385">
        <v>15713000</v>
      </c>
      <c r="E6" s="385">
        <f>SUM(C6:D6)</f>
        <v>56835000</v>
      </c>
      <c r="G6" s="121"/>
    </row>
    <row r="7" spans="1:7" ht="16.5" thickTop="1" x14ac:dyDescent="0.25">
      <c r="A7" s="116"/>
      <c r="B7" s="120" t="s">
        <v>182</v>
      </c>
      <c r="C7" s="121"/>
      <c r="D7" s="121"/>
      <c r="E7" s="121"/>
    </row>
    <row r="8" spans="1:7" ht="15.75" x14ac:dyDescent="0.25">
      <c r="A8" s="116"/>
      <c r="B8" s="120"/>
      <c r="C8" s="121"/>
      <c r="D8" s="121"/>
      <c r="E8" s="121"/>
    </row>
    <row r="9" spans="1:7" ht="15.75" x14ac:dyDescent="0.25">
      <c r="A9" s="119"/>
      <c r="B9" s="120"/>
      <c r="C9" s="122"/>
      <c r="D9" s="123"/>
      <c r="E9" s="12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&amp;R8. sz. melléklet / &amp;P.oldal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41" sqref="E41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85546875" bestFit="1" customWidth="1"/>
  </cols>
  <sheetData>
    <row r="1" spans="1:5" ht="37.5" customHeight="1" x14ac:dyDescent="0.3">
      <c r="A1" s="632" t="s">
        <v>475</v>
      </c>
      <c r="B1" s="632"/>
      <c r="C1" s="632"/>
      <c r="D1" s="632"/>
      <c r="E1" s="632"/>
    </row>
    <row r="2" spans="1:5" ht="15.75" x14ac:dyDescent="0.25">
      <c r="A2" s="114"/>
      <c r="B2" s="12"/>
      <c r="C2" s="12"/>
      <c r="D2" s="12"/>
      <c r="E2" s="12"/>
    </row>
    <row r="3" spans="1:5" ht="15.75" x14ac:dyDescent="0.25">
      <c r="A3" s="114"/>
      <c r="B3" s="12"/>
      <c r="C3" s="12"/>
      <c r="D3" s="12"/>
      <c r="E3" s="97" t="s">
        <v>37</v>
      </c>
    </row>
    <row r="4" spans="1:5" ht="31.5" x14ac:dyDescent="0.25">
      <c r="A4" s="115" t="s">
        <v>176</v>
      </c>
      <c r="B4" s="115" t="s">
        <v>177</v>
      </c>
      <c r="C4" s="115" t="s">
        <v>178</v>
      </c>
      <c r="D4" s="115" t="s">
        <v>179</v>
      </c>
      <c r="E4" s="115" t="s">
        <v>180</v>
      </c>
    </row>
    <row r="5" spans="1:5" ht="15.75" x14ac:dyDescent="0.25">
      <c r="A5" s="116" t="s">
        <v>75</v>
      </c>
      <c r="B5" s="117" t="s">
        <v>181</v>
      </c>
      <c r="C5" s="118"/>
      <c r="D5" s="118"/>
      <c r="E5" s="118"/>
    </row>
    <row r="6" spans="1:5" ht="16.5" thickBot="1" x14ac:dyDescent="0.3">
      <c r="A6" s="124" t="s">
        <v>46</v>
      </c>
      <c r="B6" s="125" t="s">
        <v>441</v>
      </c>
      <c r="C6" s="385">
        <f>'8.'!C6</f>
        <v>41122000</v>
      </c>
      <c r="D6" s="385">
        <f>'8.'!D6</f>
        <v>15713000</v>
      </c>
      <c r="E6" s="385">
        <f>SUM(C6:D6)</f>
        <v>56835000</v>
      </c>
    </row>
    <row r="7" spans="1:5" ht="16.5" thickTop="1" x14ac:dyDescent="0.25">
      <c r="A7" s="116"/>
      <c r="B7" s="120" t="s">
        <v>182</v>
      </c>
      <c r="C7" s="121"/>
      <c r="D7" s="121"/>
      <c r="E7" s="12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&amp;R9. sz. melléklet / &amp;P.oldal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5" sqref="G25"/>
    </sheetView>
  </sheetViews>
  <sheetFormatPr defaultRowHeight="15" x14ac:dyDescent="0.25"/>
  <cols>
    <col min="1" max="1" width="6.140625" customWidth="1"/>
    <col min="2" max="2" width="36.42578125" customWidth="1"/>
    <col min="3" max="3" width="14" customWidth="1"/>
    <col min="4" max="4" width="13.28515625" customWidth="1"/>
    <col min="5" max="5" width="15.42578125" customWidth="1"/>
    <col min="6" max="6" width="11.5703125" customWidth="1"/>
    <col min="7" max="7" width="17.140625" customWidth="1"/>
    <col min="8" max="8" width="17.42578125" customWidth="1"/>
  </cols>
  <sheetData>
    <row r="1" spans="1:8" ht="39" customHeight="1" x14ac:dyDescent="0.25">
      <c r="A1" s="26"/>
      <c r="B1" s="633" t="s">
        <v>439</v>
      </c>
      <c r="C1" s="634"/>
      <c r="D1" s="634"/>
      <c r="E1" s="634"/>
      <c r="F1" s="634"/>
      <c r="G1" s="634"/>
    </row>
    <row r="2" spans="1:8" ht="15.75" x14ac:dyDescent="0.25">
      <c r="A2" s="26"/>
      <c r="B2" s="26"/>
      <c r="C2" s="26"/>
      <c r="D2" s="26"/>
      <c r="E2" s="26"/>
      <c r="F2" s="26"/>
      <c r="G2" s="26"/>
    </row>
    <row r="3" spans="1:8" ht="16.5" thickBot="1" x14ac:dyDescent="0.3">
      <c r="A3" s="26"/>
      <c r="B3" s="26"/>
      <c r="C3" s="26"/>
      <c r="D3" s="26"/>
      <c r="E3" s="26"/>
      <c r="G3" s="26" t="s">
        <v>37</v>
      </c>
    </row>
    <row r="4" spans="1:8" ht="78.75" x14ac:dyDescent="0.25">
      <c r="A4" s="635" t="s">
        <v>257</v>
      </c>
      <c r="B4" s="636"/>
      <c r="C4" s="142" t="s">
        <v>675</v>
      </c>
      <c r="D4" s="142" t="s">
        <v>674</v>
      </c>
      <c r="E4" s="142" t="s">
        <v>673</v>
      </c>
      <c r="F4" s="142" t="s">
        <v>732</v>
      </c>
      <c r="G4" s="513" t="s">
        <v>671</v>
      </c>
      <c r="H4" s="518" t="s">
        <v>678</v>
      </c>
    </row>
    <row r="5" spans="1:8" ht="15.75" x14ac:dyDescent="0.25">
      <c r="A5" s="449"/>
      <c r="B5" s="143"/>
      <c r="C5" s="143" t="s">
        <v>46</v>
      </c>
      <c r="D5" s="143" t="s">
        <v>47</v>
      </c>
      <c r="E5" s="143" t="s">
        <v>48</v>
      </c>
      <c r="F5" s="143" t="s">
        <v>49</v>
      </c>
      <c r="G5" s="514" t="s">
        <v>50</v>
      </c>
      <c r="H5" s="519" t="s">
        <v>51</v>
      </c>
    </row>
    <row r="6" spans="1:8" ht="16.5" x14ac:dyDescent="0.25">
      <c r="A6" s="450"/>
      <c r="B6" s="144" t="s">
        <v>676</v>
      </c>
      <c r="C6" s="520"/>
      <c r="D6" s="520"/>
      <c r="E6" s="346"/>
      <c r="F6" s="521"/>
      <c r="G6" s="522"/>
      <c r="H6" s="523"/>
    </row>
    <row r="7" spans="1:8" ht="15.75" x14ac:dyDescent="0.25">
      <c r="A7" s="451" t="s">
        <v>46</v>
      </c>
      <c r="B7" s="146" t="s">
        <v>422</v>
      </c>
      <c r="C7" s="346">
        <f>'4.'!C16</f>
        <v>63617306.659999996</v>
      </c>
      <c r="D7" s="346">
        <f>SUM('2.'!C19,'2.'!C22:C25,)</f>
        <v>59306664.659999996</v>
      </c>
      <c r="E7" s="346">
        <f>C7-D7</f>
        <v>4310642</v>
      </c>
      <c r="F7" s="505">
        <f>SUM(D7:E7)</f>
        <v>63617306.659999996</v>
      </c>
      <c r="G7" s="515">
        <f>SUM(,)</f>
        <v>0</v>
      </c>
      <c r="H7" s="524">
        <f>IF(E7-G7 &gt; 0,E7-G7,0)</f>
        <v>4310642</v>
      </c>
    </row>
    <row r="8" spans="1:8" ht="15.75" x14ac:dyDescent="0.25">
      <c r="A8" s="451" t="s">
        <v>47</v>
      </c>
      <c r="B8" s="146" t="s">
        <v>423</v>
      </c>
      <c r="C8" s="346">
        <f>'4.'!D16</f>
        <v>11346000</v>
      </c>
      <c r="D8" s="346">
        <f>SUM('2.'!D19,'2.'!D22:D25,)</f>
        <v>508000</v>
      </c>
      <c r="E8" s="346">
        <f t="shared" ref="E8:E13" si="0">C8-D8</f>
        <v>10838000</v>
      </c>
      <c r="F8" s="505">
        <f t="shared" ref="F8:F13" si="1">SUM(D8:E8)</f>
        <v>11346000</v>
      </c>
      <c r="G8" s="515">
        <f>'1.'!B72</f>
        <v>4132706</v>
      </c>
      <c r="H8" s="524">
        <f>IF(E8-G8 &gt; 0,E8-G8,0)</f>
        <v>6705294</v>
      </c>
    </row>
    <row r="9" spans="1:8" ht="15.75" x14ac:dyDescent="0.25">
      <c r="A9" s="451" t="s">
        <v>48</v>
      </c>
      <c r="B9" s="146" t="s">
        <v>433</v>
      </c>
      <c r="C9" s="346">
        <f>'4.'!F16</f>
        <v>21425266</v>
      </c>
      <c r="D9" s="346">
        <f>'1.'!B106</f>
        <v>7267266</v>
      </c>
      <c r="E9" s="346">
        <f t="shared" si="0"/>
        <v>14158000</v>
      </c>
      <c r="F9" s="505">
        <f t="shared" si="1"/>
        <v>21425266</v>
      </c>
      <c r="G9" s="515">
        <f>SUM('1.'!B58:B60)</f>
        <v>14158000</v>
      </c>
      <c r="H9" s="524">
        <f>IF(E9-G9 &gt; 0,E9-G9,0)</f>
        <v>0</v>
      </c>
    </row>
    <row r="10" spans="1:8" ht="15.75" x14ac:dyDescent="0.25">
      <c r="A10" s="451" t="s">
        <v>49</v>
      </c>
      <c r="B10" s="146" t="s">
        <v>171</v>
      </c>
      <c r="C10" s="346">
        <f>'4.'!E16</f>
        <v>54823508.350000001</v>
      </c>
      <c r="D10" s="346">
        <f>SUM('2.'!E19,'2.'!E22:E25)</f>
        <v>32923613.350000001</v>
      </c>
      <c r="E10" s="346">
        <f t="shared" si="0"/>
        <v>21899895</v>
      </c>
      <c r="F10" s="505">
        <f t="shared" si="1"/>
        <v>54823508.350000001</v>
      </c>
      <c r="G10" s="515">
        <f>SUM('1.'!B68)</f>
        <v>20848320</v>
      </c>
      <c r="H10" s="524">
        <f>IF(E10-G10 &gt; 0,E10-G10,0)</f>
        <v>1051575</v>
      </c>
    </row>
    <row r="11" spans="1:8" ht="16.5" thickBot="1" x14ac:dyDescent="0.3">
      <c r="A11" s="454" t="s">
        <v>50</v>
      </c>
      <c r="B11" s="455" t="s">
        <v>251</v>
      </c>
      <c r="C11" s="456">
        <f>'4.'!G16</f>
        <v>91130000</v>
      </c>
      <c r="D11" s="456">
        <f>SUM('2.'!G19,'2.'!G22:G25)</f>
        <v>33873000</v>
      </c>
      <c r="E11" s="456">
        <f t="shared" si="0"/>
        <v>57257000</v>
      </c>
      <c r="F11" s="506">
        <f t="shared" si="1"/>
        <v>91130000</v>
      </c>
      <c r="G11" s="516">
        <f>SUM('1.'!B47,'1.'!B65,'1.'!B88)</f>
        <v>85281192</v>
      </c>
      <c r="H11" s="525">
        <f>IF(E11-G11 &gt; 0,E11-G11,0)</f>
        <v>0</v>
      </c>
    </row>
    <row r="12" spans="1:8" ht="18" thickTop="1" thickBot="1" x14ac:dyDescent="0.3">
      <c r="A12" s="453"/>
      <c r="B12" s="452" t="s">
        <v>258</v>
      </c>
      <c r="C12" s="526">
        <f t="shared" ref="C12:H12" si="2">SUM(C7:C11)</f>
        <v>242342081.00999999</v>
      </c>
      <c r="D12" s="526">
        <f t="shared" si="2"/>
        <v>133878544.00999999</v>
      </c>
      <c r="E12" s="526">
        <f t="shared" si="2"/>
        <v>108463537</v>
      </c>
      <c r="F12" s="527">
        <f t="shared" si="2"/>
        <v>242342081.00999999</v>
      </c>
      <c r="G12" s="528">
        <f t="shared" si="2"/>
        <v>124420218</v>
      </c>
      <c r="H12" s="529">
        <f t="shared" si="2"/>
        <v>12067511</v>
      </c>
    </row>
    <row r="13" spans="1:8" ht="17.25" thickTop="1" thickBot="1" x14ac:dyDescent="0.3">
      <c r="A13" s="508" t="s">
        <v>51</v>
      </c>
      <c r="B13" s="509" t="s">
        <v>573</v>
      </c>
      <c r="C13" s="510">
        <f>'4.'!H26</f>
        <v>252573545</v>
      </c>
      <c r="D13" s="510">
        <f>SUM('2.'!H19,'2.'!H22:H25,)</f>
        <v>162944000</v>
      </c>
      <c r="E13" s="511">
        <f t="shared" si="0"/>
        <v>89629545</v>
      </c>
      <c r="F13" s="512">
        <f t="shared" si="1"/>
        <v>252573545</v>
      </c>
      <c r="G13" s="517">
        <f>SUM('1.'!B48,'1.'!B53:B54,'1.'!B61,'1.'!B66:B67,)</f>
        <v>41750130</v>
      </c>
      <c r="H13" s="530"/>
    </row>
    <row r="14" spans="1:8" ht="17.25" thickBot="1" x14ac:dyDescent="0.3">
      <c r="A14" s="262"/>
      <c r="B14" s="145" t="s">
        <v>259</v>
      </c>
      <c r="C14" s="355">
        <f t="shared" ref="C14:G14" si="3">SUM(C12:C13)</f>
        <v>494915626.00999999</v>
      </c>
      <c r="D14" s="355">
        <f t="shared" si="3"/>
        <v>296822544.00999999</v>
      </c>
      <c r="E14" s="355">
        <f t="shared" si="3"/>
        <v>198093082</v>
      </c>
      <c r="F14" s="531">
        <f t="shared" si="3"/>
        <v>494915626.00999999</v>
      </c>
      <c r="G14" s="532">
        <f t="shared" si="3"/>
        <v>166170348</v>
      </c>
      <c r="H14" s="533"/>
    </row>
    <row r="17" spans="1:8" x14ac:dyDescent="0.25">
      <c r="B17" s="458" t="s">
        <v>672</v>
      </c>
    </row>
    <row r="18" spans="1:8" ht="15.75" x14ac:dyDescent="0.25">
      <c r="A18" t="s">
        <v>46</v>
      </c>
      <c r="B18" s="132" t="str">
        <f>CONCATENATE("A Konyha állami támogatás (az 50% és a 100%-ban igyen étkezők) ",DOLLAR('1.'!B61,-3), "  mely összeg az Önkormányzathoz érkezik !")</f>
        <v>A Konyha állami támogatás (az 50% és a 100%-ban igyen étkezők) 9 894 000 Ft  mely összeg az Önkormányzathoz érkezik !</v>
      </c>
      <c r="C18" s="579"/>
      <c r="D18" s="579"/>
      <c r="E18" s="579"/>
      <c r="F18" s="579"/>
      <c r="G18" s="579"/>
      <c r="H18" s="579"/>
    </row>
    <row r="19" spans="1:8" ht="15.75" x14ac:dyDescent="0.25">
      <c r="A19" t="s">
        <v>47</v>
      </c>
      <c r="B19" s="132" t="str">
        <f>CONCATENATE("A Gondozási Központ étkezési állami támogatása  ",DOLLAR(SUM('1.'!B66:B67),-3), "  mely összeg az Önkormányzathoz érkezik !")</f>
        <v>A Gondozási Központ étkezési állami támogatása  6 617 000 Ft  mely összeg az Önkormányzathoz érkezik !</v>
      </c>
      <c r="C19" s="579"/>
      <c r="D19" s="579"/>
      <c r="E19" s="579"/>
      <c r="F19" s="579"/>
      <c r="G19" s="579"/>
      <c r="H19" s="579"/>
    </row>
    <row r="20" spans="1:8" ht="15.75" x14ac:dyDescent="0.25">
      <c r="A20" t="s">
        <v>733</v>
      </c>
      <c r="B20" s="537" t="s">
        <v>747</v>
      </c>
      <c r="C20" s="537"/>
      <c r="D20" s="537"/>
      <c r="E20" s="537"/>
      <c r="F20" s="537"/>
      <c r="G20" s="537"/>
      <c r="H20" s="537"/>
    </row>
    <row r="21" spans="1:8" ht="15.75" x14ac:dyDescent="0.25">
      <c r="A21" t="s">
        <v>746</v>
      </c>
      <c r="B21" s="537" t="s">
        <v>734</v>
      </c>
      <c r="C21" s="579"/>
      <c r="D21" s="579"/>
      <c r="E21" s="579"/>
      <c r="F21" s="579"/>
      <c r="G21" s="579"/>
      <c r="H21" s="580">
        <f>'1.'!B92</f>
        <v>166170348</v>
      </c>
    </row>
    <row r="22" spans="1:8" ht="15.75" x14ac:dyDescent="0.25">
      <c r="B22" s="537" t="s">
        <v>735</v>
      </c>
      <c r="C22" s="579"/>
      <c r="D22" s="579"/>
      <c r="E22" s="579"/>
      <c r="F22" s="579"/>
      <c r="G22" s="579"/>
      <c r="H22" s="579"/>
    </row>
    <row r="23" spans="1:8" ht="15.75" x14ac:dyDescent="0.25">
      <c r="A23" s="537" t="s">
        <v>50</v>
      </c>
      <c r="B23" s="537" t="s">
        <v>736</v>
      </c>
      <c r="C23" s="537"/>
      <c r="D23" s="537"/>
      <c r="E23" s="537"/>
      <c r="F23" s="537"/>
      <c r="G23" s="537"/>
      <c r="H23" s="537"/>
    </row>
    <row r="24" spans="1:8" ht="15.75" x14ac:dyDescent="0.25">
      <c r="A24" s="537"/>
      <c r="B24" s="537" t="s">
        <v>737</v>
      </c>
      <c r="C24" s="537"/>
      <c r="D24" s="537"/>
      <c r="E24" s="537"/>
      <c r="F24" s="537"/>
      <c r="G24" s="537"/>
      <c r="H24" s="537"/>
    </row>
    <row r="25" spans="1:8" ht="15.75" x14ac:dyDescent="0.25">
      <c r="A25" s="537"/>
      <c r="B25" s="537" t="s">
        <v>738</v>
      </c>
      <c r="C25" s="537"/>
      <c r="D25" s="537"/>
      <c r="E25" s="537"/>
      <c r="F25" s="537"/>
      <c r="G25" s="537"/>
      <c r="H25" s="537"/>
    </row>
    <row r="26" spans="1:8" ht="15.75" x14ac:dyDescent="0.25">
      <c r="A26" s="537" t="s">
        <v>762</v>
      </c>
      <c r="B26" s="537" t="s">
        <v>763</v>
      </c>
      <c r="C26" s="537"/>
      <c r="D26" s="537"/>
      <c r="E26" s="580">
        <f>'1.'!B106</f>
        <v>7267266</v>
      </c>
      <c r="F26" s="537"/>
      <c r="G26" s="537"/>
      <c r="H26" s="537"/>
    </row>
    <row r="27" spans="1:8" ht="15.75" x14ac:dyDescent="0.25">
      <c r="A27" s="537"/>
      <c r="B27" s="537"/>
      <c r="C27" s="537"/>
      <c r="D27" s="537"/>
      <c r="E27" s="537"/>
      <c r="F27" s="537"/>
      <c r="G27" s="537"/>
      <c r="H27" s="537"/>
    </row>
    <row r="28" spans="1:8" ht="16.5" thickBot="1" x14ac:dyDescent="0.3">
      <c r="A28" s="537"/>
      <c r="B28" s="537"/>
      <c r="C28" s="537"/>
      <c r="D28" s="582">
        <f>'2_A'!C72</f>
        <v>120442178.00999999</v>
      </c>
      <c r="E28" s="537" t="s">
        <v>626</v>
      </c>
      <c r="F28" s="537"/>
      <c r="G28" s="581">
        <f>'1.'!B91</f>
        <v>166170348</v>
      </c>
      <c r="H28" s="537"/>
    </row>
    <row r="29" spans="1:8" ht="15.75" x14ac:dyDescent="0.25">
      <c r="A29" s="537"/>
      <c r="B29" s="537"/>
      <c r="C29" s="537"/>
      <c r="D29" s="537"/>
      <c r="E29" s="537"/>
      <c r="F29" s="537"/>
      <c r="G29" s="537"/>
      <c r="H29" s="537"/>
    </row>
  </sheetData>
  <mergeCells count="2">
    <mergeCell ref="B1:G1"/>
    <mergeCell ref="A4:B4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&amp;R10. sz. melléklet / &amp;P.oldal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" sqref="B1:L1"/>
    </sheetView>
  </sheetViews>
  <sheetFormatPr defaultRowHeight="15" x14ac:dyDescent="0.25"/>
  <cols>
    <col min="1" max="1" width="3.7109375" customWidth="1"/>
    <col min="2" max="2" width="27.140625" customWidth="1"/>
    <col min="3" max="3" width="19.28515625" customWidth="1"/>
    <col min="4" max="4" width="8.85546875" customWidth="1"/>
    <col min="5" max="13" width="9.28515625" customWidth="1"/>
  </cols>
  <sheetData>
    <row r="1" spans="1:13" ht="31.5" customHeight="1" x14ac:dyDescent="0.25">
      <c r="A1" s="153"/>
      <c r="B1" s="662" t="s">
        <v>298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154"/>
    </row>
    <row r="2" spans="1:13" ht="18.75" x14ac:dyDescent="0.3">
      <c r="A2" s="153"/>
      <c r="B2" s="155"/>
      <c r="C2" s="155"/>
      <c r="D2" s="155"/>
      <c r="E2" s="155"/>
      <c r="F2" s="155"/>
      <c r="G2" s="155"/>
      <c r="H2" s="155"/>
      <c r="I2" s="155"/>
      <c r="J2" s="155"/>
      <c r="K2" s="663" t="s">
        <v>37</v>
      </c>
      <c r="L2" s="663"/>
      <c r="M2" s="663"/>
    </row>
    <row r="3" spans="1:13" ht="15" customHeight="1" x14ac:dyDescent="0.25">
      <c r="A3" s="664" t="s">
        <v>176</v>
      </c>
      <c r="B3" s="666" t="s">
        <v>276</v>
      </c>
      <c r="C3" s="666"/>
      <c r="D3" s="666" t="s">
        <v>299</v>
      </c>
      <c r="E3" s="661" t="s">
        <v>277</v>
      </c>
      <c r="F3" s="661" t="s">
        <v>278</v>
      </c>
      <c r="G3" s="661" t="s">
        <v>292</v>
      </c>
      <c r="H3" s="661" t="s">
        <v>293</v>
      </c>
      <c r="I3" s="661" t="s">
        <v>294</v>
      </c>
      <c r="J3" s="661" t="s">
        <v>295</v>
      </c>
      <c r="K3" s="661" t="s">
        <v>296</v>
      </c>
      <c r="L3" s="661" t="s">
        <v>297</v>
      </c>
      <c r="M3" s="661" t="s">
        <v>279</v>
      </c>
    </row>
    <row r="4" spans="1:13" ht="31.5" customHeight="1" x14ac:dyDescent="0.25">
      <c r="A4" s="665"/>
      <c r="B4" s="666"/>
      <c r="C4" s="666"/>
      <c r="D4" s="666"/>
      <c r="E4" s="661"/>
      <c r="F4" s="661"/>
      <c r="G4" s="661"/>
      <c r="H4" s="661"/>
      <c r="I4" s="661"/>
      <c r="J4" s="661"/>
      <c r="K4" s="661"/>
      <c r="L4" s="661"/>
      <c r="M4" s="661"/>
    </row>
    <row r="5" spans="1:13" x14ac:dyDescent="0.25">
      <c r="A5" s="156"/>
      <c r="B5" s="653" t="s">
        <v>46</v>
      </c>
      <c r="C5" s="654"/>
      <c r="D5" s="157" t="s">
        <v>47</v>
      </c>
      <c r="E5" s="157" t="s">
        <v>48</v>
      </c>
      <c r="F5" s="157" t="s">
        <v>49</v>
      </c>
      <c r="G5" s="157" t="s">
        <v>50</v>
      </c>
      <c r="H5" s="157" t="s">
        <v>51</v>
      </c>
      <c r="I5" s="157" t="s">
        <v>52</v>
      </c>
      <c r="J5" s="157" t="s">
        <v>53</v>
      </c>
      <c r="K5" s="157" t="s">
        <v>54</v>
      </c>
      <c r="L5" s="157" t="s">
        <v>55</v>
      </c>
      <c r="M5" s="157" t="s">
        <v>56</v>
      </c>
    </row>
    <row r="6" spans="1:13" x14ac:dyDescent="0.25">
      <c r="A6" s="158">
        <v>1</v>
      </c>
      <c r="B6" s="655" t="s">
        <v>282</v>
      </c>
      <c r="C6" s="655"/>
      <c r="D6" s="335">
        <v>0</v>
      </c>
      <c r="E6" s="336">
        <v>0</v>
      </c>
      <c r="F6" s="337">
        <v>0</v>
      </c>
      <c r="G6" s="337"/>
      <c r="H6" s="337"/>
      <c r="I6" s="337"/>
      <c r="J6" s="337"/>
      <c r="K6" s="337"/>
      <c r="L6" s="337"/>
      <c r="M6" s="337"/>
    </row>
    <row r="7" spans="1:13" x14ac:dyDescent="0.25">
      <c r="A7" s="158">
        <v>2</v>
      </c>
      <c r="B7" s="656"/>
      <c r="C7" s="657"/>
      <c r="D7" s="335"/>
      <c r="E7" s="336"/>
      <c r="F7" s="336"/>
      <c r="G7" s="336"/>
      <c r="H7" s="336"/>
      <c r="I7" s="336"/>
      <c r="J7" s="336"/>
      <c r="K7" s="336"/>
      <c r="L7" s="336"/>
      <c r="M7" s="336"/>
    </row>
    <row r="8" spans="1:13" x14ac:dyDescent="0.25">
      <c r="A8" s="158">
        <v>3</v>
      </c>
      <c r="B8" s="656"/>
      <c r="C8" s="657"/>
      <c r="D8" s="335"/>
      <c r="E8" s="336"/>
      <c r="F8" s="336"/>
      <c r="G8" s="336"/>
      <c r="H8" s="336"/>
      <c r="I8" s="338"/>
      <c r="J8" s="338"/>
      <c r="K8" s="338"/>
      <c r="L8" s="338"/>
      <c r="M8" s="338"/>
    </row>
    <row r="9" spans="1:13" x14ac:dyDescent="0.25">
      <c r="A9" s="158">
        <v>4</v>
      </c>
      <c r="B9" s="656"/>
      <c r="C9" s="657"/>
      <c r="D9" s="335"/>
      <c r="E9" s="339"/>
      <c r="F9" s="339"/>
      <c r="G9" s="339"/>
      <c r="H9" s="339"/>
      <c r="I9" s="339"/>
      <c r="J9" s="339"/>
      <c r="K9" s="339"/>
      <c r="L9" s="339"/>
      <c r="M9" s="339"/>
    </row>
    <row r="10" spans="1:13" x14ac:dyDescent="0.25">
      <c r="A10" s="158">
        <v>5</v>
      </c>
      <c r="B10" s="656"/>
      <c r="C10" s="657"/>
      <c r="D10" s="335"/>
      <c r="E10" s="336"/>
      <c r="F10" s="340"/>
      <c r="G10" s="338"/>
      <c r="H10" s="338"/>
      <c r="I10" s="338"/>
      <c r="J10" s="338"/>
      <c r="K10" s="338"/>
      <c r="L10" s="338"/>
      <c r="M10" s="338"/>
    </row>
    <row r="11" spans="1:13" ht="23.25" customHeight="1" x14ac:dyDescent="0.25">
      <c r="A11" s="158">
        <v>6</v>
      </c>
      <c r="B11" s="658" t="s">
        <v>283</v>
      </c>
      <c r="C11" s="659"/>
      <c r="D11" s="341">
        <f>SUM(D7:D10)</f>
        <v>0</v>
      </c>
      <c r="E11" s="341">
        <f>SUM(E7:E10)</f>
        <v>0</v>
      </c>
      <c r="F11" s="341">
        <f>SUM(F7:F10)</f>
        <v>0</v>
      </c>
      <c r="G11" s="341">
        <f t="shared" ref="G11:M11" si="0">SUM(G7:G10)</f>
        <v>0</v>
      </c>
      <c r="H11" s="341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</row>
    <row r="12" spans="1:13" x14ac:dyDescent="0.25">
      <c r="A12" s="159">
        <v>7</v>
      </c>
      <c r="B12" s="660"/>
      <c r="C12" s="660"/>
      <c r="D12" s="334"/>
      <c r="E12" s="334"/>
      <c r="F12" s="334"/>
      <c r="G12" s="334"/>
      <c r="H12" s="334"/>
      <c r="I12" s="334"/>
      <c r="J12" s="334"/>
      <c r="K12" s="334"/>
      <c r="L12" s="339"/>
      <c r="M12" s="339"/>
    </row>
    <row r="13" spans="1:13" x14ac:dyDescent="0.25">
      <c r="A13" s="159">
        <v>8</v>
      </c>
      <c r="B13" s="655" t="s">
        <v>284</v>
      </c>
      <c r="C13" s="655"/>
      <c r="D13" s="334"/>
      <c r="E13" s="334"/>
      <c r="F13" s="334"/>
      <c r="G13" s="334"/>
      <c r="H13" s="334"/>
      <c r="I13" s="334"/>
      <c r="J13" s="334"/>
      <c r="K13" s="334"/>
      <c r="L13" s="339"/>
      <c r="M13" s="339"/>
    </row>
    <row r="14" spans="1:13" x14ac:dyDescent="0.25">
      <c r="A14" s="159">
        <v>9</v>
      </c>
      <c r="B14" s="650" t="s">
        <v>285</v>
      </c>
      <c r="C14" s="650"/>
      <c r="D14" s="342" t="s">
        <v>154</v>
      </c>
      <c r="E14" s="334">
        <f>C27</f>
        <v>25013000</v>
      </c>
      <c r="F14" s="334"/>
      <c r="G14" s="340"/>
      <c r="H14" s="340"/>
      <c r="I14" s="340"/>
      <c r="J14" s="340"/>
      <c r="K14" s="340"/>
      <c r="L14" s="340"/>
      <c r="M14" s="340"/>
    </row>
    <row r="15" spans="1:13" x14ac:dyDescent="0.25">
      <c r="A15" s="159">
        <v>10</v>
      </c>
      <c r="B15" s="650" t="s">
        <v>286</v>
      </c>
      <c r="C15" s="650"/>
      <c r="D15" s="343" t="s">
        <v>154</v>
      </c>
      <c r="E15" s="334">
        <f>J27</f>
        <v>4420000</v>
      </c>
      <c r="F15" s="334"/>
      <c r="G15" s="334"/>
      <c r="H15" s="334"/>
      <c r="I15" s="334"/>
      <c r="J15" s="334"/>
      <c r="K15" s="334"/>
      <c r="L15" s="339"/>
      <c r="M15" s="339"/>
    </row>
    <row r="16" spans="1:13" x14ac:dyDescent="0.25">
      <c r="A16" s="159">
        <v>11</v>
      </c>
      <c r="B16" s="650" t="s">
        <v>287</v>
      </c>
      <c r="C16" s="650"/>
      <c r="D16" s="343" t="s">
        <v>154</v>
      </c>
      <c r="E16" s="334">
        <f>'2_A'!C55</f>
        <v>1200000</v>
      </c>
      <c r="F16" s="334"/>
      <c r="G16" s="334"/>
      <c r="H16" s="334"/>
      <c r="I16" s="334"/>
      <c r="J16" s="334"/>
      <c r="K16" s="334"/>
      <c r="L16" s="339"/>
      <c r="M16" s="339"/>
    </row>
    <row r="17" spans="1:13" x14ac:dyDescent="0.25">
      <c r="A17" s="159">
        <v>12</v>
      </c>
      <c r="B17" s="650" t="s">
        <v>288</v>
      </c>
      <c r="C17" s="650"/>
      <c r="D17" s="343" t="s">
        <v>154</v>
      </c>
      <c r="E17" s="334">
        <v>0</v>
      </c>
      <c r="F17" s="334"/>
      <c r="G17" s="334"/>
      <c r="H17" s="334"/>
      <c r="I17" s="334"/>
      <c r="J17" s="334"/>
      <c r="K17" s="334"/>
      <c r="L17" s="339"/>
      <c r="M17" s="339"/>
    </row>
    <row r="18" spans="1:13" x14ac:dyDescent="0.25">
      <c r="A18" s="159">
        <v>13</v>
      </c>
      <c r="B18" s="650" t="s">
        <v>289</v>
      </c>
      <c r="C18" s="650"/>
      <c r="D18" s="343" t="s">
        <v>154</v>
      </c>
      <c r="E18" s="334">
        <f>'1.'!B37</f>
        <v>500000</v>
      </c>
      <c r="F18" s="334"/>
      <c r="G18" s="334"/>
      <c r="H18" s="334"/>
      <c r="I18" s="334"/>
      <c r="J18" s="334"/>
      <c r="K18" s="334"/>
      <c r="L18" s="334"/>
      <c r="M18" s="334"/>
    </row>
    <row r="19" spans="1:13" x14ac:dyDescent="0.25">
      <c r="A19" s="159">
        <v>14</v>
      </c>
      <c r="B19" s="651" t="s">
        <v>290</v>
      </c>
      <c r="C19" s="651"/>
      <c r="D19" s="342" t="s">
        <v>154</v>
      </c>
      <c r="E19" s="344">
        <f>SUM(E14:E18)</f>
        <v>31133000</v>
      </c>
      <c r="F19" s="344">
        <f t="shared" ref="F19:M19" si="1">SUM(F14:F18)</f>
        <v>0</v>
      </c>
      <c r="G19" s="344">
        <f t="shared" si="1"/>
        <v>0</v>
      </c>
      <c r="H19" s="344">
        <f t="shared" si="1"/>
        <v>0</v>
      </c>
      <c r="I19" s="344">
        <f t="shared" si="1"/>
        <v>0</v>
      </c>
      <c r="J19" s="344">
        <f t="shared" si="1"/>
        <v>0</v>
      </c>
      <c r="K19" s="344">
        <f t="shared" si="1"/>
        <v>0</v>
      </c>
      <c r="L19" s="344">
        <f t="shared" si="1"/>
        <v>0</v>
      </c>
      <c r="M19" s="344">
        <f t="shared" si="1"/>
        <v>0</v>
      </c>
    </row>
    <row r="20" spans="1:13" x14ac:dyDescent="0.25">
      <c r="A20" s="160">
        <v>15</v>
      </c>
      <c r="B20" s="652" t="s">
        <v>291</v>
      </c>
      <c r="C20" s="652"/>
      <c r="D20" s="345"/>
      <c r="E20" s="422">
        <f>E11/E19</f>
        <v>0</v>
      </c>
      <c r="F20" s="422" t="e">
        <f>F11/F19</f>
        <v>#DIV/0!</v>
      </c>
      <c r="G20" s="422" t="e">
        <f t="shared" ref="G20:M20" si="2">G11/G19</f>
        <v>#DIV/0!</v>
      </c>
      <c r="H20" s="422" t="e">
        <f t="shared" si="2"/>
        <v>#DIV/0!</v>
      </c>
      <c r="I20" s="422" t="e">
        <f t="shared" si="2"/>
        <v>#DIV/0!</v>
      </c>
      <c r="J20" s="422" t="e">
        <f t="shared" si="2"/>
        <v>#DIV/0!</v>
      </c>
      <c r="K20" s="422" t="e">
        <f t="shared" si="2"/>
        <v>#DIV/0!</v>
      </c>
      <c r="L20" s="422" t="e">
        <f t="shared" si="2"/>
        <v>#DIV/0!</v>
      </c>
      <c r="M20" s="422" t="e">
        <f t="shared" si="2"/>
        <v>#DIV/0!</v>
      </c>
    </row>
    <row r="21" spans="1:13" ht="15.75" thickBot="1" x14ac:dyDescent="0.3"/>
    <row r="22" spans="1:13" ht="15.75" x14ac:dyDescent="0.25">
      <c r="B22" s="648" t="s">
        <v>479</v>
      </c>
      <c r="C22" s="649"/>
      <c r="E22" s="639" t="s">
        <v>286</v>
      </c>
      <c r="F22" s="640"/>
      <c r="G22" s="641"/>
      <c r="H22" s="641"/>
      <c r="I22" s="642"/>
      <c r="J22" s="643"/>
    </row>
    <row r="23" spans="1:13" ht="15.75" x14ac:dyDescent="0.25">
      <c r="B23" s="288" t="str">
        <f>'1.'!A24</f>
        <v xml:space="preserve">2.1.1. Helyi iparűzési adó                                                                              </v>
      </c>
      <c r="C23" s="331">
        <f>'1.'!B24</f>
        <v>15000000</v>
      </c>
      <c r="E23" s="646" t="str">
        <f>'2_A'!B61</f>
        <v>Ingatlanok bérbeadása</v>
      </c>
      <c r="F23" s="647"/>
      <c r="G23" s="647"/>
      <c r="H23" s="647"/>
      <c r="I23" s="647"/>
      <c r="J23" s="569">
        <f>'2_A'!C61</f>
        <v>3500000</v>
      </c>
    </row>
    <row r="24" spans="1:13" ht="15.75" x14ac:dyDescent="0.25">
      <c r="B24" s="288" t="str">
        <f>'1.'!A25</f>
        <v xml:space="preserve">2.1.2. Idegenforgalmi adó                                                                              </v>
      </c>
      <c r="C24" s="331">
        <f>'1.'!B25</f>
        <v>13000</v>
      </c>
      <c r="E24" s="646" t="str">
        <f>'2_A'!B56</f>
        <v>Telenor (Pannon) telefontársaság bérleti díja</v>
      </c>
      <c r="F24" s="647"/>
      <c r="G24" s="647"/>
      <c r="H24" s="647"/>
      <c r="I24" s="647"/>
      <c r="J24" s="569">
        <f>'2_A'!C56</f>
        <v>500000</v>
      </c>
    </row>
    <row r="25" spans="1:13" ht="15.75" x14ac:dyDescent="0.25">
      <c r="B25" s="288" t="str">
        <f>'1.'!A26</f>
        <v xml:space="preserve">2.1.3. Kommunális adó                                                              </v>
      </c>
      <c r="C25" s="331">
        <f>'1.'!B26</f>
        <v>9000000</v>
      </c>
      <c r="E25" s="646" t="str">
        <f>'2_A'!B57</f>
        <v>Vodafone telefontársaság bérleti díja</v>
      </c>
      <c r="F25" s="647"/>
      <c r="G25" s="647"/>
      <c r="H25" s="647"/>
      <c r="I25" s="647"/>
      <c r="J25" s="569">
        <f>'2_A'!C57</f>
        <v>420000</v>
      </c>
    </row>
    <row r="26" spans="1:13" ht="16.5" thickBot="1" x14ac:dyDescent="0.3">
      <c r="B26" s="290" t="str">
        <f>'1.'!A27</f>
        <v>2.1.4. Mezőőri járulék</v>
      </c>
      <c r="C26" s="332">
        <f>'1.'!B27</f>
        <v>1000000</v>
      </c>
      <c r="E26" s="637" t="str">
        <f>'2_A'!B58</f>
        <v>Vízi közmű bérleti díj (amortizáció)</v>
      </c>
      <c r="F26" s="638"/>
      <c r="G26" s="638"/>
      <c r="H26" s="638"/>
      <c r="I26" s="638"/>
      <c r="J26" s="570">
        <f>'2_A'!C58</f>
        <v>0</v>
      </c>
    </row>
    <row r="27" spans="1:13" ht="15.75" thickBot="1" x14ac:dyDescent="0.3">
      <c r="B27" s="289" t="str">
        <f>'1.'!A28</f>
        <v>Helyi adók összesen:</v>
      </c>
      <c r="C27" s="333">
        <f>'1.'!B28</f>
        <v>25013000</v>
      </c>
      <c r="E27" s="644" t="s">
        <v>353</v>
      </c>
      <c r="F27" s="645"/>
      <c r="G27" s="645"/>
      <c r="H27" s="645"/>
      <c r="I27" s="645"/>
      <c r="J27" s="571">
        <f>SUM(J23:J26)</f>
        <v>4420000</v>
      </c>
    </row>
  </sheetData>
  <mergeCells count="37">
    <mergeCell ref="L3:L4"/>
    <mergeCell ref="M3:M4"/>
    <mergeCell ref="B1:L1"/>
    <mergeCell ref="K2:M2"/>
    <mergeCell ref="A3:A4"/>
    <mergeCell ref="B3:C4"/>
    <mergeCell ref="D3:D4"/>
    <mergeCell ref="E3:E4"/>
    <mergeCell ref="F3:F4"/>
    <mergeCell ref="G3:G4"/>
    <mergeCell ref="K3:K4"/>
    <mergeCell ref="H3:H4"/>
    <mergeCell ref="I3:I4"/>
    <mergeCell ref="J3:J4"/>
    <mergeCell ref="B5:C5"/>
    <mergeCell ref="B6:C6"/>
    <mergeCell ref="B7:C7"/>
    <mergeCell ref="B8:C8"/>
    <mergeCell ref="B16:C16"/>
    <mergeCell ref="B10:C10"/>
    <mergeCell ref="B9:C9"/>
    <mergeCell ref="B11:C11"/>
    <mergeCell ref="B12:C12"/>
    <mergeCell ref="B13:C13"/>
    <mergeCell ref="B14:C14"/>
    <mergeCell ref="B15:C15"/>
    <mergeCell ref="B22:C22"/>
    <mergeCell ref="B17:C17"/>
    <mergeCell ref="B18:C18"/>
    <mergeCell ref="B19:C19"/>
    <mergeCell ref="B20:C20"/>
    <mergeCell ref="E26:I26"/>
    <mergeCell ref="E22:J22"/>
    <mergeCell ref="E27:I27"/>
    <mergeCell ref="E23:I23"/>
    <mergeCell ref="E24:I24"/>
    <mergeCell ref="E25:I2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&amp;R11. sz. melléklet / &amp;P.oldal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9" workbookViewId="0">
      <selection activeCell="N63" sqref="N63"/>
    </sheetView>
  </sheetViews>
  <sheetFormatPr defaultRowHeight="15" x14ac:dyDescent="0.25"/>
  <cols>
    <col min="1" max="1" width="5.7109375" bestFit="1" customWidth="1"/>
    <col min="2" max="2" width="3.42578125" customWidth="1"/>
    <col min="3" max="3" width="4" customWidth="1"/>
    <col min="4" max="4" width="43.7109375" customWidth="1"/>
    <col min="5" max="5" width="14.7109375" customWidth="1"/>
    <col min="6" max="6" width="13" customWidth="1"/>
    <col min="7" max="7" width="12" customWidth="1"/>
  </cols>
  <sheetData>
    <row r="1" spans="1:7" ht="18.75" customHeight="1" x14ac:dyDescent="0.3">
      <c r="A1" s="688" t="s">
        <v>421</v>
      </c>
      <c r="B1" s="688"/>
      <c r="C1" s="688"/>
      <c r="D1" s="688"/>
      <c r="E1" s="688"/>
      <c r="F1" s="688"/>
      <c r="G1" s="688"/>
    </row>
    <row r="2" spans="1:7" ht="18.75" x14ac:dyDescent="0.3">
      <c r="A2" s="623" t="s">
        <v>468</v>
      </c>
      <c r="B2" s="689"/>
      <c r="C2" s="689"/>
      <c r="D2" s="689"/>
      <c r="E2" s="689"/>
      <c r="F2" s="689"/>
      <c r="G2" s="689"/>
    </row>
    <row r="3" spans="1:7" ht="18.75" x14ac:dyDescent="0.3">
      <c r="A3" s="623" t="s">
        <v>420</v>
      </c>
      <c r="B3" s="689"/>
      <c r="C3" s="689"/>
      <c r="D3" s="689"/>
      <c r="E3" s="689"/>
      <c r="F3" s="689"/>
      <c r="G3" s="689"/>
    </row>
    <row r="4" spans="1:7" ht="18.75" x14ac:dyDescent="0.3">
      <c r="A4" s="152"/>
      <c r="B4" s="152"/>
      <c r="C4" s="152"/>
      <c r="D4" s="152"/>
      <c r="E4" s="152"/>
      <c r="F4" s="152"/>
      <c r="G4" s="152"/>
    </row>
    <row r="5" spans="1:7" ht="18.75" x14ac:dyDescent="0.3">
      <c r="A5" s="623" t="s">
        <v>300</v>
      </c>
      <c r="B5" s="623"/>
      <c r="C5" s="623"/>
      <c r="D5" s="623"/>
      <c r="E5" s="623"/>
      <c r="F5" s="623"/>
      <c r="G5" s="623"/>
    </row>
    <row r="6" spans="1:7" ht="15.75" x14ac:dyDescent="0.25">
      <c r="A6" s="126"/>
      <c r="B6" s="126"/>
      <c r="C6" s="126"/>
      <c r="D6" s="10"/>
      <c r="E6" s="10"/>
      <c r="F6" s="8"/>
      <c r="G6" s="10"/>
    </row>
    <row r="7" spans="1:7" ht="15.75" x14ac:dyDescent="0.25">
      <c r="A7" s="126"/>
      <c r="B7" s="126"/>
      <c r="C7" s="126"/>
      <c r="D7" s="10"/>
      <c r="E7" s="10"/>
      <c r="F7" s="10" t="s">
        <v>301</v>
      </c>
      <c r="G7" s="10"/>
    </row>
    <row r="8" spans="1:7" ht="16.5" thickBot="1" x14ac:dyDescent="0.3">
      <c r="A8" s="126"/>
      <c r="B8" s="126"/>
      <c r="C8" s="126"/>
      <c r="D8" s="10"/>
      <c r="E8" s="10"/>
      <c r="F8" s="10"/>
      <c r="G8" s="10"/>
    </row>
    <row r="9" spans="1:7" ht="17.25" thickTop="1" thickBot="1" x14ac:dyDescent="0.3">
      <c r="A9" s="161"/>
      <c r="B9" s="162"/>
      <c r="C9" s="162"/>
      <c r="D9" s="163"/>
      <c r="E9" s="164" t="s">
        <v>469</v>
      </c>
      <c r="F9" s="165" t="s">
        <v>438</v>
      </c>
      <c r="G9" s="166" t="s">
        <v>302</v>
      </c>
    </row>
    <row r="10" spans="1:7" ht="17.25" thickTop="1" thickBot="1" x14ac:dyDescent="0.3">
      <c r="A10" s="167" t="s">
        <v>75</v>
      </c>
      <c r="B10" s="687" t="s">
        <v>303</v>
      </c>
      <c r="C10" s="687"/>
      <c r="D10" s="687"/>
      <c r="E10" s="444">
        <f>SUM(E11:E12)</f>
        <v>162291273</v>
      </c>
      <c r="F10" s="444">
        <f>SUM(F11:F12)</f>
        <v>151155178.00999999</v>
      </c>
      <c r="G10" s="168">
        <f>F10/E10</f>
        <v>0.93138204671054614</v>
      </c>
    </row>
    <row r="11" spans="1:7" ht="15.75" x14ac:dyDescent="0.25">
      <c r="A11" s="169"/>
      <c r="B11" s="170" t="s">
        <v>46</v>
      </c>
      <c r="C11" s="697" t="s">
        <v>304</v>
      </c>
      <c r="D11" s="698"/>
      <c r="E11" s="171">
        <f>4846000+73302273+48500000</f>
        <v>126648273</v>
      </c>
      <c r="F11" s="416">
        <f>'1.'!B20</f>
        <v>120442178.00999999</v>
      </c>
      <c r="G11" s="172">
        <f t="shared" ref="G11:G26" si="0">F11/E11</f>
        <v>0.95099739741417544</v>
      </c>
    </row>
    <row r="12" spans="1:7" ht="15.75" x14ac:dyDescent="0.25">
      <c r="A12" s="173"/>
      <c r="B12" s="174" t="s">
        <v>47</v>
      </c>
      <c r="C12" s="680" t="s">
        <v>305</v>
      </c>
      <c r="D12" s="680"/>
      <c r="E12" s="175">
        <f>SUM(E13:E15)</f>
        <v>35643000</v>
      </c>
      <c r="F12" s="175">
        <f>SUM(F13:F15)</f>
        <v>30713000</v>
      </c>
      <c r="G12" s="176">
        <f t="shared" si="0"/>
        <v>0.86168392110652858</v>
      </c>
    </row>
    <row r="13" spans="1:7" ht="15.75" x14ac:dyDescent="0.25">
      <c r="A13" s="173"/>
      <c r="B13" s="174"/>
      <c r="C13" s="177" t="s">
        <v>306</v>
      </c>
      <c r="D13" s="146" t="s">
        <v>285</v>
      </c>
      <c r="E13" s="175">
        <v>22043000</v>
      </c>
      <c r="F13" s="445">
        <f>'1.'!B28</f>
        <v>25013000</v>
      </c>
      <c r="G13" s="176">
        <f t="shared" si="0"/>
        <v>1.1347366510910493</v>
      </c>
    </row>
    <row r="14" spans="1:7" ht="15.75" x14ac:dyDescent="0.25">
      <c r="A14" s="173"/>
      <c r="B14" s="174"/>
      <c r="C14" s="177" t="s">
        <v>307</v>
      </c>
      <c r="D14" s="146" t="s">
        <v>308</v>
      </c>
      <c r="E14" s="175">
        <v>13000000</v>
      </c>
      <c r="F14" s="445">
        <f>'1.'!B33</f>
        <v>5200000</v>
      </c>
      <c r="G14" s="176">
        <f t="shared" si="0"/>
        <v>0.4</v>
      </c>
    </row>
    <row r="15" spans="1:7" ht="15.75" x14ac:dyDescent="0.25">
      <c r="A15" s="173"/>
      <c r="B15" s="174"/>
      <c r="C15" s="177" t="s">
        <v>309</v>
      </c>
      <c r="D15" s="146" t="s">
        <v>310</v>
      </c>
      <c r="E15" s="175">
        <v>600000</v>
      </c>
      <c r="F15" s="445">
        <f>'1.'!B39</f>
        <v>500000</v>
      </c>
      <c r="G15" s="176">
        <f t="shared" si="0"/>
        <v>0.83333333333333337</v>
      </c>
    </row>
    <row r="16" spans="1:7" ht="15.75" x14ac:dyDescent="0.25">
      <c r="A16" s="173"/>
      <c r="B16" s="681"/>
      <c r="C16" s="682"/>
      <c r="D16" s="683"/>
      <c r="E16" s="175"/>
      <c r="F16" s="175"/>
      <c r="G16" s="178"/>
    </row>
    <row r="17" spans="1:7" ht="16.5" thickBot="1" x14ac:dyDescent="0.3">
      <c r="A17" s="179" t="s">
        <v>81</v>
      </c>
      <c r="B17" s="684" t="s">
        <v>311</v>
      </c>
      <c r="C17" s="684"/>
      <c r="D17" s="684"/>
      <c r="E17" s="180">
        <f>SUM(E18,E22)</f>
        <v>225116089</v>
      </c>
      <c r="F17" s="180">
        <f>SUM(F18,F22)</f>
        <v>166170348</v>
      </c>
      <c r="G17" s="181">
        <f t="shared" si="0"/>
        <v>0.73815402860876811</v>
      </c>
    </row>
    <row r="18" spans="1:7" ht="15.75" x14ac:dyDescent="0.25">
      <c r="A18" s="169"/>
      <c r="B18" s="170" t="s">
        <v>46</v>
      </c>
      <c r="C18" s="685" t="s">
        <v>312</v>
      </c>
      <c r="D18" s="685"/>
      <c r="E18" s="171">
        <f>SUM(E19:E21)</f>
        <v>225116089</v>
      </c>
      <c r="F18" s="171">
        <f>SUM(F19:F21)</f>
        <v>166170348</v>
      </c>
      <c r="G18" s="172">
        <f t="shared" si="0"/>
        <v>0.73815402860876811</v>
      </c>
    </row>
    <row r="19" spans="1:7" ht="15.75" x14ac:dyDescent="0.25">
      <c r="A19" s="173"/>
      <c r="B19" s="174"/>
      <c r="C19" s="177" t="s">
        <v>313</v>
      </c>
      <c r="D19" s="146" t="s">
        <v>314</v>
      </c>
      <c r="E19" s="171">
        <v>181504487</v>
      </c>
      <c r="F19" s="175">
        <f>'1.'!B74</f>
        <v>134850348</v>
      </c>
      <c r="G19" s="176">
        <f t="shared" si="0"/>
        <v>0.74295875671657641</v>
      </c>
    </row>
    <row r="20" spans="1:7" ht="31.5" x14ac:dyDescent="0.25">
      <c r="A20" s="173"/>
      <c r="B20" s="174"/>
      <c r="C20" s="182" t="s">
        <v>315</v>
      </c>
      <c r="D20" s="183" t="s">
        <v>564</v>
      </c>
      <c r="E20" s="175">
        <v>43611602</v>
      </c>
      <c r="F20" s="175">
        <f>'1.'!B82</f>
        <v>0</v>
      </c>
      <c r="G20" s="176">
        <v>0</v>
      </c>
    </row>
    <row r="21" spans="1:7" ht="15.75" x14ac:dyDescent="0.25">
      <c r="A21" s="173"/>
      <c r="B21" s="174"/>
      <c r="C21" s="177" t="s">
        <v>316</v>
      </c>
      <c r="D21" s="146" t="s">
        <v>317</v>
      </c>
      <c r="E21" s="175">
        <v>0</v>
      </c>
      <c r="F21" s="175">
        <f>'1.'!B89</f>
        <v>31320000</v>
      </c>
      <c r="G21" s="176">
        <v>0</v>
      </c>
    </row>
    <row r="22" spans="1:7" ht="15.75" x14ac:dyDescent="0.25">
      <c r="A22" s="173"/>
      <c r="B22" s="699" t="s">
        <v>318</v>
      </c>
      <c r="C22" s="700"/>
      <c r="D22" s="701"/>
      <c r="E22" s="175">
        <v>0</v>
      </c>
      <c r="F22" s="175">
        <v>0</v>
      </c>
      <c r="G22" s="176"/>
    </row>
    <row r="23" spans="1:7" ht="15.75" x14ac:dyDescent="0.25">
      <c r="A23" s="173"/>
      <c r="B23" s="681"/>
      <c r="C23" s="682"/>
      <c r="D23" s="683"/>
      <c r="E23" s="175"/>
      <c r="F23" s="175"/>
      <c r="G23" s="178"/>
    </row>
    <row r="24" spans="1:7" ht="15.75" x14ac:dyDescent="0.25">
      <c r="A24" s="184" t="s">
        <v>83</v>
      </c>
      <c r="B24" s="674" t="s">
        <v>319</v>
      </c>
      <c r="C24" s="674"/>
      <c r="D24" s="674"/>
      <c r="E24" s="185"/>
      <c r="F24" s="185">
        <f>'1.'!B98</f>
        <v>0</v>
      </c>
      <c r="G24" s="176">
        <v>0</v>
      </c>
    </row>
    <row r="25" spans="1:7" ht="15.75" x14ac:dyDescent="0.25">
      <c r="A25" s="173"/>
      <c r="B25" s="681"/>
      <c r="C25" s="682"/>
      <c r="D25" s="683"/>
      <c r="E25" s="175"/>
      <c r="F25" s="175"/>
      <c r="G25" s="178"/>
    </row>
    <row r="26" spans="1:7" ht="15.75" x14ac:dyDescent="0.25">
      <c r="A26" s="184" t="s">
        <v>85</v>
      </c>
      <c r="B26" s="674" t="s">
        <v>320</v>
      </c>
      <c r="C26" s="674"/>
      <c r="D26" s="674"/>
      <c r="E26" s="185">
        <f>12880231+11810000+41122237+6209000+17161855</f>
        <v>89183323</v>
      </c>
      <c r="F26" s="185">
        <f>'1.'!B113</f>
        <v>138400100</v>
      </c>
      <c r="G26" s="186">
        <f t="shared" si="0"/>
        <v>1.551860766614404</v>
      </c>
    </row>
    <row r="27" spans="1:7" ht="15.75" x14ac:dyDescent="0.25">
      <c r="A27" s="173"/>
      <c r="B27" s="681"/>
      <c r="C27" s="682"/>
      <c r="D27" s="683"/>
      <c r="E27" s="175"/>
      <c r="F27" s="175"/>
      <c r="G27" s="178"/>
    </row>
    <row r="28" spans="1:7" ht="15.75" x14ac:dyDescent="0.25">
      <c r="A28" s="184" t="s">
        <v>87</v>
      </c>
      <c r="B28" s="674" t="s">
        <v>321</v>
      </c>
      <c r="C28" s="674"/>
      <c r="D28" s="674"/>
      <c r="E28" s="185">
        <v>0</v>
      </c>
      <c r="F28" s="185">
        <f>'1.'!B116</f>
        <v>0</v>
      </c>
      <c r="G28" s="176">
        <v>0</v>
      </c>
    </row>
    <row r="29" spans="1:7" ht="15.75" x14ac:dyDescent="0.25">
      <c r="A29" s="173"/>
      <c r="B29" s="681"/>
      <c r="C29" s="682"/>
      <c r="D29" s="683"/>
      <c r="E29" s="175"/>
      <c r="F29" s="175"/>
      <c r="G29" s="186"/>
    </row>
    <row r="30" spans="1:7" ht="15.75" x14ac:dyDescent="0.25">
      <c r="A30" s="184" t="s">
        <v>90</v>
      </c>
      <c r="B30" s="674" t="s">
        <v>322</v>
      </c>
      <c r="C30" s="674"/>
      <c r="D30" s="674"/>
      <c r="E30" s="185">
        <f>SUM(E10,E17,E24,E26,E28,)</f>
        <v>476590685</v>
      </c>
      <c r="F30" s="185">
        <f>SUM(F10,F17,F24,F26,F28)</f>
        <v>455725626.00999999</v>
      </c>
      <c r="G30" s="176">
        <f>F30/E30</f>
        <v>0.95622017037534002</v>
      </c>
    </row>
    <row r="31" spans="1:7" ht="15.75" x14ac:dyDescent="0.25">
      <c r="A31" s="173"/>
      <c r="B31" s="681"/>
      <c r="C31" s="682"/>
      <c r="D31" s="683"/>
      <c r="E31" s="175"/>
      <c r="F31" s="175"/>
      <c r="G31" s="176"/>
    </row>
    <row r="32" spans="1:7" ht="15.75" x14ac:dyDescent="0.25">
      <c r="A32" s="184" t="s">
        <v>93</v>
      </c>
      <c r="B32" s="674" t="s">
        <v>323</v>
      </c>
      <c r="C32" s="674"/>
      <c r="D32" s="674"/>
      <c r="E32" s="185">
        <f>SUM(E33:E34)</f>
        <v>3400000</v>
      </c>
      <c r="F32" s="185">
        <f>SUM(F33:F34)</f>
        <v>23477000</v>
      </c>
      <c r="G32" s="176">
        <f>F32/E32</f>
        <v>6.9050000000000002</v>
      </c>
    </row>
    <row r="33" spans="1:7" ht="15.75" x14ac:dyDescent="0.25">
      <c r="A33" s="173"/>
      <c r="B33" s="693" t="str">
        <f>'1.'!A122</f>
        <v>Előző évi pénzmaradvány felhasználás</v>
      </c>
      <c r="C33" s="694"/>
      <c r="D33" s="695"/>
      <c r="E33" s="446"/>
      <c r="F33" s="175"/>
      <c r="G33" s="176"/>
    </row>
    <row r="34" spans="1:7" ht="15.75" x14ac:dyDescent="0.25">
      <c r="A34" s="173"/>
      <c r="B34" s="696" t="s">
        <v>324</v>
      </c>
      <c r="C34" s="672"/>
      <c r="D34" s="673"/>
      <c r="E34" s="175">
        <v>3400000</v>
      </c>
      <c r="F34" s="175">
        <f>'1.'!B122</f>
        <v>23477000</v>
      </c>
      <c r="G34" s="176">
        <f>F34/E34</f>
        <v>6.9050000000000002</v>
      </c>
    </row>
    <row r="35" spans="1:7" ht="15.75" x14ac:dyDescent="0.25">
      <c r="A35" s="173"/>
      <c r="B35" s="188"/>
      <c r="C35" s="189"/>
      <c r="D35" s="190"/>
      <c r="E35" s="175"/>
      <c r="F35" s="175"/>
      <c r="G35" s="176"/>
    </row>
    <row r="36" spans="1:7" ht="15.75" x14ac:dyDescent="0.25">
      <c r="A36" s="184" t="s">
        <v>95</v>
      </c>
      <c r="B36" s="690" t="s">
        <v>325</v>
      </c>
      <c r="C36" s="691"/>
      <c r="D36" s="692"/>
      <c r="E36" s="175">
        <f>70000000+59504121</f>
        <v>129504121</v>
      </c>
      <c r="F36" s="175">
        <f>'1.'!B133</f>
        <v>15713000</v>
      </c>
      <c r="G36" s="176">
        <f>F36/E36</f>
        <v>0.12133204625974799</v>
      </c>
    </row>
    <row r="37" spans="1:7" ht="15.75" x14ac:dyDescent="0.25">
      <c r="A37" s="173"/>
      <c r="B37" s="188"/>
      <c r="C37" s="189"/>
      <c r="D37" s="190"/>
      <c r="E37" s="175"/>
      <c r="F37" s="175"/>
      <c r="G37" s="176"/>
    </row>
    <row r="38" spans="1:7" ht="16.5" thickBot="1" x14ac:dyDescent="0.3">
      <c r="A38" s="191" t="s">
        <v>326</v>
      </c>
      <c r="B38" s="686" t="s">
        <v>43</v>
      </c>
      <c r="C38" s="686"/>
      <c r="D38" s="686"/>
      <c r="E38" s="447">
        <f>SUM(E30,E32,E36)</f>
        <v>609494806</v>
      </c>
      <c r="F38" s="447">
        <f>SUM(F30,F32,F36)</f>
        <v>494915626.00999999</v>
      </c>
      <c r="G38" s="192">
        <f>F38/E38</f>
        <v>0.81200958751074248</v>
      </c>
    </row>
    <row r="39" spans="1:7" ht="16.5" thickTop="1" x14ac:dyDescent="0.25">
      <c r="A39" s="126"/>
      <c r="B39" s="126"/>
      <c r="C39" s="126"/>
      <c r="D39" s="10"/>
      <c r="E39" s="147"/>
      <c r="F39" s="147"/>
      <c r="G39" s="147"/>
    </row>
    <row r="40" spans="1:7" ht="15.75" x14ac:dyDescent="0.25">
      <c r="A40" s="126"/>
      <c r="B40" s="126"/>
      <c r="C40" s="126"/>
      <c r="D40" s="10"/>
      <c r="E40" s="147"/>
      <c r="F40" s="147"/>
      <c r="G40" s="147"/>
    </row>
    <row r="41" spans="1:7" ht="15.75" x14ac:dyDescent="0.25">
      <c r="A41" s="126"/>
      <c r="B41" s="126"/>
      <c r="C41" s="126"/>
      <c r="D41" s="10"/>
      <c r="E41" s="147"/>
      <c r="F41" s="147"/>
      <c r="G41" s="147"/>
    </row>
    <row r="42" spans="1:7" ht="15.75" x14ac:dyDescent="0.25">
      <c r="A42" s="126"/>
      <c r="B42" s="126"/>
      <c r="C42" s="126"/>
      <c r="D42" s="10"/>
      <c r="E42" s="147"/>
      <c r="F42" s="147"/>
      <c r="G42" s="147"/>
    </row>
    <row r="43" spans="1:7" ht="18.75" x14ac:dyDescent="0.3">
      <c r="A43" s="254"/>
      <c r="B43" s="254"/>
      <c r="C43" s="254"/>
      <c r="D43" s="254"/>
      <c r="E43" s="254"/>
      <c r="F43" s="254"/>
      <c r="G43" s="254"/>
    </row>
    <row r="44" spans="1:7" ht="18.75" x14ac:dyDescent="0.3">
      <c r="A44" s="254"/>
      <c r="B44" s="254"/>
      <c r="C44" s="254"/>
      <c r="D44" s="254"/>
      <c r="E44" s="254"/>
      <c r="F44" s="254"/>
      <c r="G44" s="254"/>
    </row>
    <row r="45" spans="1:7" ht="15.75" x14ac:dyDescent="0.25">
      <c r="A45" s="126"/>
      <c r="B45" s="126"/>
      <c r="C45" s="126"/>
      <c r="D45" s="10"/>
      <c r="E45" s="147"/>
      <c r="F45" s="147"/>
      <c r="G45" s="147"/>
    </row>
    <row r="46" spans="1:7" ht="18.75" customHeight="1" x14ac:dyDescent="0.3">
      <c r="A46" s="688" t="s">
        <v>421</v>
      </c>
      <c r="B46" s="688"/>
      <c r="C46" s="688"/>
      <c r="D46" s="688"/>
      <c r="E46" s="688"/>
      <c r="F46" s="688"/>
      <c r="G46" s="688"/>
    </row>
    <row r="47" spans="1:7" ht="18.75" x14ac:dyDescent="0.3">
      <c r="A47" s="623" t="s">
        <v>468</v>
      </c>
      <c r="B47" s="689"/>
      <c r="C47" s="689"/>
      <c r="D47" s="689"/>
      <c r="E47" s="689"/>
      <c r="F47" s="689"/>
      <c r="G47" s="689"/>
    </row>
    <row r="48" spans="1:7" ht="18.75" x14ac:dyDescent="0.3">
      <c r="A48" s="623" t="s">
        <v>420</v>
      </c>
      <c r="B48" s="689"/>
      <c r="C48" s="689"/>
      <c r="D48" s="689"/>
      <c r="E48" s="689"/>
      <c r="F48" s="689"/>
      <c r="G48" s="689"/>
    </row>
    <row r="49" spans="1:7" ht="15.75" x14ac:dyDescent="0.25">
      <c r="A49" s="126"/>
      <c r="B49" s="126"/>
      <c r="C49" s="126"/>
      <c r="D49" s="10"/>
      <c r="E49" s="10"/>
      <c r="F49" s="10"/>
      <c r="G49" s="10"/>
    </row>
    <row r="50" spans="1:7" ht="18.75" x14ac:dyDescent="0.3">
      <c r="A50" s="623" t="s">
        <v>327</v>
      </c>
      <c r="B50" s="623"/>
      <c r="C50" s="623"/>
      <c r="D50" s="623"/>
      <c r="E50" s="623"/>
      <c r="F50" s="623"/>
      <c r="G50" s="623"/>
    </row>
    <row r="51" spans="1:7" ht="18.75" x14ac:dyDescent="0.3">
      <c r="A51" s="152"/>
      <c r="B51" s="152"/>
      <c r="C51" s="152"/>
      <c r="D51" s="152"/>
      <c r="E51" s="152"/>
      <c r="F51" s="152"/>
      <c r="G51" s="152"/>
    </row>
    <row r="52" spans="1:7" ht="18.75" x14ac:dyDescent="0.3">
      <c r="A52" s="152"/>
      <c r="B52" s="152"/>
      <c r="C52" s="152"/>
      <c r="D52" s="152"/>
      <c r="E52" s="152"/>
      <c r="F52" s="10" t="s">
        <v>301</v>
      </c>
      <c r="G52" s="152"/>
    </row>
    <row r="53" spans="1:7" ht="19.5" thickBot="1" x14ac:dyDescent="0.35">
      <c r="A53" s="152"/>
      <c r="B53" s="152"/>
      <c r="C53" s="152"/>
      <c r="D53" s="152"/>
      <c r="E53" s="152"/>
      <c r="F53" s="152"/>
      <c r="G53" s="152"/>
    </row>
    <row r="54" spans="1:7" ht="17.25" thickTop="1" thickBot="1" x14ac:dyDescent="0.3">
      <c r="A54" s="161"/>
      <c r="B54" s="162"/>
      <c r="C54" s="162"/>
      <c r="D54" s="193"/>
      <c r="E54" s="164" t="s">
        <v>469</v>
      </c>
      <c r="F54" s="165" t="s">
        <v>438</v>
      </c>
      <c r="G54" s="166" t="s">
        <v>302</v>
      </c>
    </row>
    <row r="55" spans="1:7" ht="17.25" thickTop="1" thickBot="1" x14ac:dyDescent="0.3">
      <c r="A55" s="167" t="s">
        <v>75</v>
      </c>
      <c r="B55" s="687" t="s">
        <v>328</v>
      </c>
      <c r="C55" s="687"/>
      <c r="D55" s="687"/>
      <c r="E55" s="194">
        <f>SUM(E56:E63)</f>
        <v>530152000</v>
      </c>
      <c r="F55" s="195">
        <f>SUM(F56:F63)</f>
        <v>431905626.00999999</v>
      </c>
      <c r="G55" s="168">
        <f t="shared" ref="G55:G80" si="1">F55/E55</f>
        <v>0.81468263066064073</v>
      </c>
    </row>
    <row r="56" spans="1:7" ht="15.75" x14ac:dyDescent="0.25">
      <c r="A56" s="169"/>
      <c r="B56" s="170" t="s">
        <v>154</v>
      </c>
      <c r="C56" s="685" t="s">
        <v>329</v>
      </c>
      <c r="D56" s="685"/>
      <c r="E56" s="171">
        <f>'3.'!C8</f>
        <v>93224000</v>
      </c>
      <c r="F56" s="171">
        <f>'3.'!D8</f>
        <v>100125000</v>
      </c>
      <c r="G56" s="172">
        <f t="shared" si="1"/>
        <v>1.074026001887926</v>
      </c>
    </row>
    <row r="57" spans="1:7" ht="15.75" x14ac:dyDescent="0.25">
      <c r="A57" s="173"/>
      <c r="B57" s="174" t="s">
        <v>154</v>
      </c>
      <c r="C57" s="680" t="s">
        <v>330</v>
      </c>
      <c r="D57" s="680"/>
      <c r="E57" s="175">
        <f>'3.'!C9</f>
        <v>25171000</v>
      </c>
      <c r="F57" s="175">
        <f>'3.'!D9</f>
        <v>26562000</v>
      </c>
      <c r="G57" s="176">
        <f t="shared" si="1"/>
        <v>1.0552620078661952</v>
      </c>
    </row>
    <row r="58" spans="1:7" ht="15.75" x14ac:dyDescent="0.25">
      <c r="A58" s="173"/>
      <c r="B58" s="174" t="s">
        <v>154</v>
      </c>
      <c r="C58" s="680" t="s">
        <v>331</v>
      </c>
      <c r="D58" s="680"/>
      <c r="E58" s="175">
        <f>'3.'!C10</f>
        <v>160478000</v>
      </c>
      <c r="F58" s="175">
        <f>'3.'!D10</f>
        <v>224655617.00999999</v>
      </c>
      <c r="G58" s="176">
        <f t="shared" si="1"/>
        <v>1.3999153591769589</v>
      </c>
    </row>
    <row r="59" spans="1:7" ht="15.75" x14ac:dyDescent="0.25">
      <c r="A59" s="173"/>
      <c r="B59" s="174" t="s">
        <v>154</v>
      </c>
      <c r="C59" s="680" t="s">
        <v>332</v>
      </c>
      <c r="D59" s="680"/>
      <c r="E59" s="175">
        <f>'3.'!C11</f>
        <v>197587000</v>
      </c>
      <c r="F59" s="175">
        <f>'3.'!D11</f>
        <v>34451722</v>
      </c>
      <c r="G59" s="176">
        <f t="shared" si="1"/>
        <v>0.17436229104141468</v>
      </c>
    </row>
    <row r="60" spans="1:7" ht="15.75" x14ac:dyDescent="0.25">
      <c r="A60" s="173"/>
      <c r="B60" s="174" t="s">
        <v>154</v>
      </c>
      <c r="C60" s="680" t="s">
        <v>333</v>
      </c>
      <c r="D60" s="680"/>
      <c r="E60" s="175">
        <f>'3.'!C12</f>
        <v>52692000</v>
      </c>
      <c r="F60" s="175">
        <f>'3.'!D12</f>
        <v>38912000</v>
      </c>
      <c r="G60" s="176">
        <f t="shared" si="1"/>
        <v>0.73848022470204211</v>
      </c>
    </row>
    <row r="61" spans="1:7" ht="15.75" x14ac:dyDescent="0.25">
      <c r="A61" s="173"/>
      <c r="B61" s="174" t="s">
        <v>154</v>
      </c>
      <c r="C61" s="680" t="s">
        <v>334</v>
      </c>
      <c r="D61" s="680"/>
      <c r="E61" s="175">
        <f>'3.'!C13</f>
        <v>0</v>
      </c>
      <c r="F61" s="175">
        <f>'3.'!D13</f>
        <v>0</v>
      </c>
      <c r="G61" s="176">
        <v>0</v>
      </c>
    </row>
    <row r="62" spans="1:7" ht="15.75" x14ac:dyDescent="0.25">
      <c r="A62" s="173"/>
      <c r="B62" s="174" t="s">
        <v>154</v>
      </c>
      <c r="C62" s="680" t="s">
        <v>335</v>
      </c>
      <c r="D62" s="680"/>
      <c r="E62" s="175">
        <f>'3.'!C14</f>
        <v>1000000</v>
      </c>
      <c r="F62" s="175">
        <f>'3.'!D14</f>
        <v>6399287</v>
      </c>
      <c r="G62" s="176">
        <f t="shared" si="1"/>
        <v>6.3992870000000002</v>
      </c>
    </row>
    <row r="63" spans="1:7" ht="15.75" x14ac:dyDescent="0.25">
      <c r="A63" s="173"/>
      <c r="B63" s="174" t="s">
        <v>154</v>
      </c>
      <c r="C63" s="680" t="s">
        <v>336</v>
      </c>
      <c r="D63" s="680"/>
      <c r="E63" s="175">
        <f>'3.'!C15</f>
        <v>0</v>
      </c>
      <c r="F63" s="175">
        <f>'3.'!D16</f>
        <v>800000</v>
      </c>
      <c r="G63" s="176">
        <v>0</v>
      </c>
    </row>
    <row r="64" spans="1:7" ht="15.75" x14ac:dyDescent="0.25">
      <c r="A64" s="173"/>
      <c r="B64" s="681"/>
      <c r="C64" s="682"/>
      <c r="D64" s="683"/>
      <c r="E64" s="175"/>
      <c r="F64" s="175"/>
      <c r="G64" s="178"/>
    </row>
    <row r="65" spans="1:7" ht="16.5" thickBot="1" x14ac:dyDescent="0.3">
      <c r="A65" s="179" t="s">
        <v>81</v>
      </c>
      <c r="B65" s="684" t="s">
        <v>337</v>
      </c>
      <c r="C65" s="684"/>
      <c r="D65" s="684"/>
      <c r="E65" s="180">
        <f>SUM(E66:E69)</f>
        <v>79342000</v>
      </c>
      <c r="F65" s="180">
        <f>SUM(F66:F69)</f>
        <v>63010000</v>
      </c>
      <c r="G65" s="181">
        <f>F65/E65</f>
        <v>0.79415694083839583</v>
      </c>
    </row>
    <row r="66" spans="1:7" ht="15.75" x14ac:dyDescent="0.25">
      <c r="A66" s="169"/>
      <c r="B66" s="170" t="s">
        <v>154</v>
      </c>
      <c r="C66" s="685" t="s">
        <v>338</v>
      </c>
      <c r="D66" s="685"/>
      <c r="E66" s="175">
        <f>'3.'!C22</f>
        <v>79342000</v>
      </c>
      <c r="F66" s="171">
        <f>'3.'!D22</f>
        <v>59756000</v>
      </c>
      <c r="G66" s="172">
        <f>F66/E66</f>
        <v>0.75314461445388314</v>
      </c>
    </row>
    <row r="67" spans="1:7" ht="15.75" x14ac:dyDescent="0.25">
      <c r="A67" s="173"/>
      <c r="B67" s="174" t="s">
        <v>154</v>
      </c>
      <c r="C67" s="680" t="s">
        <v>339</v>
      </c>
      <c r="D67" s="680"/>
      <c r="E67" s="175"/>
      <c r="F67" s="171">
        <f>'3.'!D23</f>
        <v>0</v>
      </c>
      <c r="G67" s="176">
        <v>0</v>
      </c>
    </row>
    <row r="68" spans="1:7" ht="15.75" x14ac:dyDescent="0.25">
      <c r="A68" s="173"/>
      <c r="B68" s="174" t="s">
        <v>154</v>
      </c>
      <c r="C68" s="680" t="s">
        <v>340</v>
      </c>
      <c r="D68" s="680"/>
      <c r="E68" s="175"/>
      <c r="F68" s="171"/>
      <c r="G68" s="176">
        <v>0</v>
      </c>
    </row>
    <row r="69" spans="1:7" ht="15.75" x14ac:dyDescent="0.25">
      <c r="A69" s="173"/>
      <c r="B69" s="174" t="s">
        <v>154</v>
      </c>
      <c r="C69" s="680" t="s">
        <v>341</v>
      </c>
      <c r="D69" s="680"/>
      <c r="E69" s="175"/>
      <c r="F69" s="171">
        <f>'3.'!D24</f>
        <v>3254000</v>
      </c>
      <c r="G69" s="176">
        <v>0</v>
      </c>
    </row>
    <row r="70" spans="1:7" ht="15.75" x14ac:dyDescent="0.25">
      <c r="A70" s="173"/>
      <c r="B70" s="671"/>
      <c r="C70" s="672"/>
      <c r="D70" s="673"/>
      <c r="E70" s="175"/>
      <c r="F70" s="175"/>
      <c r="G70" s="176"/>
    </row>
    <row r="71" spans="1:7" ht="15.75" x14ac:dyDescent="0.25">
      <c r="A71" s="184" t="s">
        <v>83</v>
      </c>
      <c r="B71" s="674" t="s">
        <v>342</v>
      </c>
      <c r="C71" s="674"/>
      <c r="D71" s="674"/>
      <c r="E71" s="185">
        <f>SUM(E65,E55)</f>
        <v>609494000</v>
      </c>
      <c r="F71" s="185">
        <f>SUM(F55,F65)</f>
        <v>494915626.00999999</v>
      </c>
      <c r="G71" s="176">
        <f>F71/E71</f>
        <v>0.81201066131906141</v>
      </c>
    </row>
    <row r="72" spans="1:7" ht="15.75" x14ac:dyDescent="0.25">
      <c r="A72" s="173"/>
      <c r="B72" s="671"/>
      <c r="C72" s="672"/>
      <c r="D72" s="673"/>
      <c r="E72" s="175"/>
      <c r="F72" s="175"/>
      <c r="G72" s="176"/>
    </row>
    <row r="73" spans="1:7" ht="15.75" x14ac:dyDescent="0.25">
      <c r="A73" s="184" t="s">
        <v>85</v>
      </c>
      <c r="B73" s="674" t="s">
        <v>343</v>
      </c>
      <c r="C73" s="674"/>
      <c r="D73" s="674"/>
      <c r="E73" s="185">
        <v>0</v>
      </c>
      <c r="F73" s="185">
        <v>0</v>
      </c>
      <c r="G73" s="176"/>
    </row>
    <row r="74" spans="1:7" ht="15.75" x14ac:dyDescent="0.25">
      <c r="A74" s="173"/>
      <c r="B74" s="671"/>
      <c r="C74" s="672"/>
      <c r="D74" s="673"/>
      <c r="E74" s="175"/>
      <c r="F74" s="175"/>
      <c r="G74" s="176"/>
    </row>
    <row r="75" spans="1:7" ht="15.75" x14ac:dyDescent="0.25">
      <c r="A75" s="184" t="s">
        <v>87</v>
      </c>
      <c r="B75" s="674" t="s">
        <v>137</v>
      </c>
      <c r="C75" s="674"/>
      <c r="D75" s="674"/>
      <c r="E75" s="185">
        <f>SUM(E73,E71)</f>
        <v>609494000</v>
      </c>
      <c r="F75" s="185">
        <f>SUM(F71,F73)</f>
        <v>494915626.00999999</v>
      </c>
      <c r="G75" s="176">
        <f>F75/E75</f>
        <v>0.81201066131906141</v>
      </c>
    </row>
    <row r="76" spans="1:7" ht="15.75" x14ac:dyDescent="0.25">
      <c r="A76" s="173"/>
      <c r="B76" s="671"/>
      <c r="C76" s="672"/>
      <c r="D76" s="673"/>
      <c r="E76" s="175"/>
      <c r="F76" s="175"/>
      <c r="G76" s="176"/>
    </row>
    <row r="77" spans="1:7" ht="16.5" thickBot="1" x14ac:dyDescent="0.3">
      <c r="A77" s="196"/>
      <c r="B77" s="675"/>
      <c r="C77" s="676"/>
      <c r="D77" s="677"/>
      <c r="E77" s="197"/>
      <c r="F77" s="197"/>
      <c r="G77" s="198"/>
    </row>
    <row r="78" spans="1:7" ht="16.5" thickTop="1" x14ac:dyDescent="0.25">
      <c r="A78" s="678" t="s">
        <v>344</v>
      </c>
      <c r="B78" s="679"/>
      <c r="C78" s="679"/>
      <c r="D78" s="679"/>
      <c r="E78" s="199">
        <f>'4.'!I31</f>
        <v>39</v>
      </c>
      <c r="F78" s="199">
        <f>'4.'!I27</f>
        <v>51</v>
      </c>
      <c r="G78" s="200">
        <f t="shared" si="1"/>
        <v>1.3076923076923077</v>
      </c>
    </row>
    <row r="79" spans="1:7" ht="15.75" x14ac:dyDescent="0.25">
      <c r="A79" s="667" t="s">
        <v>549</v>
      </c>
      <c r="B79" s="668"/>
      <c r="C79" s="668"/>
      <c r="D79" s="668"/>
      <c r="E79" s="448">
        <f>'4.'!I32</f>
        <v>13</v>
      </c>
      <c r="F79" s="202">
        <f>'4.'!I28</f>
        <v>18</v>
      </c>
      <c r="G79" s="176"/>
    </row>
    <row r="80" spans="1:7" ht="16.5" thickBot="1" x14ac:dyDescent="0.3">
      <c r="A80" s="669" t="s">
        <v>550</v>
      </c>
      <c r="B80" s="670"/>
      <c r="C80" s="670"/>
      <c r="D80" s="670"/>
      <c r="E80" s="203">
        <f>SUM(E78:E79)</f>
        <v>52</v>
      </c>
      <c r="F80" s="203">
        <f>SUM(F78:F79)</f>
        <v>69</v>
      </c>
      <c r="G80" s="192">
        <f t="shared" si="1"/>
        <v>1.3269230769230769</v>
      </c>
    </row>
    <row r="81" ht="15.75" thickTop="1" x14ac:dyDescent="0.25"/>
  </sheetData>
  <mergeCells count="55">
    <mergeCell ref="B23:D23"/>
    <mergeCell ref="A1:G1"/>
    <mergeCell ref="A5:G5"/>
    <mergeCell ref="B10:D10"/>
    <mergeCell ref="C11:D11"/>
    <mergeCell ref="C12:D12"/>
    <mergeCell ref="B16:D16"/>
    <mergeCell ref="B17:D17"/>
    <mergeCell ref="C18:D18"/>
    <mergeCell ref="B22:D22"/>
    <mergeCell ref="A3:G3"/>
    <mergeCell ref="A2:G2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C61:D61"/>
    <mergeCell ref="B38:D38"/>
    <mergeCell ref="A50:G50"/>
    <mergeCell ref="B55:D55"/>
    <mergeCell ref="C56:D56"/>
    <mergeCell ref="C57:D57"/>
    <mergeCell ref="C58:D58"/>
    <mergeCell ref="C59:D59"/>
    <mergeCell ref="C60:D60"/>
    <mergeCell ref="A46:G46"/>
    <mergeCell ref="A47:G47"/>
    <mergeCell ref="A48:G48"/>
    <mergeCell ref="B73:D73"/>
    <mergeCell ref="C62:D62"/>
    <mergeCell ref="C63:D63"/>
    <mergeCell ref="B64:D64"/>
    <mergeCell ref="B65:D65"/>
    <mergeCell ref="C66:D66"/>
    <mergeCell ref="C67:D67"/>
    <mergeCell ref="C68:D68"/>
    <mergeCell ref="C69:D69"/>
    <mergeCell ref="B70:D70"/>
    <mergeCell ref="B71:D71"/>
    <mergeCell ref="B72:D72"/>
    <mergeCell ref="A79:D79"/>
    <mergeCell ref="A80:D80"/>
    <mergeCell ref="B74:D74"/>
    <mergeCell ref="B75:D75"/>
    <mergeCell ref="B76:D76"/>
    <mergeCell ref="B77:D77"/>
    <mergeCell ref="A78:D78"/>
  </mergeCells>
  <pageMargins left="0.27559055118110237" right="0.27559055118110237" top="0.74803149606299213" bottom="0.74803149606299213" header="0.31496062992125984" footer="0.31496062992125984"/>
  <pageSetup paperSize="9" orientation="portrait" r:id="rId1"/>
  <headerFooter>
    <oddHeader>&amp;R12. sz. melléklet / &amp;P.oldal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G17" sqref="G17"/>
    </sheetView>
  </sheetViews>
  <sheetFormatPr defaultRowHeight="15" x14ac:dyDescent="0.25"/>
  <cols>
    <col min="1" max="1" width="5.42578125" customWidth="1"/>
    <col min="2" max="2" width="38" customWidth="1"/>
    <col min="3" max="6" width="13" customWidth="1"/>
    <col min="7" max="7" width="14.42578125" customWidth="1"/>
    <col min="8" max="8" width="15.85546875" customWidth="1"/>
    <col min="9" max="9" width="15.140625" customWidth="1"/>
    <col min="10" max="10" width="9.85546875" customWidth="1"/>
  </cols>
  <sheetData>
    <row r="1" spans="1:10" ht="15.75" x14ac:dyDescent="0.25">
      <c r="A1" s="29"/>
      <c r="B1" s="29"/>
      <c r="C1" s="30"/>
      <c r="D1" s="30"/>
      <c r="E1" s="30"/>
      <c r="F1" s="30"/>
      <c r="G1" s="31"/>
      <c r="H1" s="31"/>
      <c r="I1" s="31"/>
      <c r="J1" s="31"/>
    </row>
    <row r="2" spans="1:10" ht="18.75" x14ac:dyDescent="0.25">
      <c r="A2" s="32" t="s">
        <v>677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ht="16.5" thickBot="1" x14ac:dyDescent="0.3">
      <c r="A3" s="29"/>
      <c r="B3" s="29"/>
      <c r="C3" s="30"/>
      <c r="D3" s="30"/>
      <c r="E3" s="26"/>
      <c r="F3" s="26"/>
      <c r="G3" s="30"/>
      <c r="H3" s="30"/>
      <c r="I3" s="26" t="s">
        <v>37</v>
      </c>
      <c r="J3" s="26"/>
    </row>
    <row r="4" spans="1:10" ht="48" thickBot="1" x14ac:dyDescent="0.3">
      <c r="A4" s="543"/>
      <c r="B4" s="544" t="s">
        <v>44</v>
      </c>
      <c r="C4" s="545" t="s">
        <v>422</v>
      </c>
      <c r="D4" s="546" t="s">
        <v>423</v>
      </c>
      <c r="E4" s="547" t="s">
        <v>171</v>
      </c>
      <c r="F4" s="547" t="s">
        <v>433</v>
      </c>
      <c r="G4" s="545" t="s">
        <v>424</v>
      </c>
      <c r="H4" s="546" t="s">
        <v>96</v>
      </c>
      <c r="I4" s="548" t="s">
        <v>45</v>
      </c>
      <c r="J4" s="35"/>
    </row>
    <row r="5" spans="1:10" ht="16.5" thickTop="1" x14ac:dyDescent="0.25">
      <c r="A5" s="549"/>
      <c r="B5" s="36"/>
      <c r="C5" s="37" t="s">
        <v>46</v>
      </c>
      <c r="D5" s="37" t="s">
        <v>47</v>
      </c>
      <c r="E5" s="261">
        <v>3</v>
      </c>
      <c r="F5" s="261">
        <v>4</v>
      </c>
      <c r="G5" s="261">
        <v>5</v>
      </c>
      <c r="H5" s="261">
        <v>6</v>
      </c>
      <c r="I5" s="550">
        <v>7</v>
      </c>
      <c r="J5" s="38"/>
    </row>
    <row r="6" spans="1:10" ht="15.75" x14ac:dyDescent="0.25">
      <c r="A6" s="551" t="s">
        <v>46</v>
      </c>
      <c r="B6" s="39" t="s">
        <v>62</v>
      </c>
      <c r="C6" s="300"/>
      <c r="D6" s="301"/>
      <c r="E6" s="300"/>
      <c r="F6" s="300"/>
      <c r="G6" s="300">
        <f>'2_A'!C43</f>
        <v>500000</v>
      </c>
      <c r="H6" s="302"/>
      <c r="I6" s="552">
        <f t="shared" ref="I6:I30" si="0">SUM(C6:H6,)</f>
        <v>500000</v>
      </c>
      <c r="J6" s="41"/>
    </row>
    <row r="7" spans="1:10" ht="15.75" x14ac:dyDescent="0.25">
      <c r="A7" s="551" t="s">
        <v>47</v>
      </c>
      <c r="B7" s="39" t="s">
        <v>63</v>
      </c>
      <c r="C7" s="300"/>
      <c r="D7" s="300"/>
      <c r="E7" s="300"/>
      <c r="F7" s="300"/>
      <c r="G7" s="300"/>
      <c r="H7" s="303"/>
      <c r="I7" s="552">
        <f t="shared" si="0"/>
        <v>0</v>
      </c>
      <c r="J7" s="38"/>
    </row>
    <row r="8" spans="1:10" ht="15.75" x14ac:dyDescent="0.25">
      <c r="A8" s="551" t="s">
        <v>48</v>
      </c>
      <c r="B8" s="39" t="s">
        <v>64</v>
      </c>
      <c r="C8" s="300">
        <f>SUM('2_A'!C5,'2_A'!C20)</f>
        <v>3034150</v>
      </c>
      <c r="D8" s="300"/>
      <c r="E8" s="300">
        <f>'2_A'!C37</f>
        <v>700000</v>
      </c>
      <c r="F8" s="300"/>
      <c r="G8" s="300">
        <f>SUM('2_A'!C45:C54)</f>
        <v>7720000</v>
      </c>
      <c r="H8" s="303">
        <f>SUM('2_A'!C51,)</f>
        <v>2200000</v>
      </c>
      <c r="I8" s="552">
        <f t="shared" si="0"/>
        <v>13654150</v>
      </c>
      <c r="J8" s="38"/>
    </row>
    <row r="9" spans="1:10" ht="15.75" x14ac:dyDescent="0.25">
      <c r="A9" s="551" t="s">
        <v>49</v>
      </c>
      <c r="B9" s="39" t="s">
        <v>65</v>
      </c>
      <c r="C9" s="300"/>
      <c r="D9" s="300"/>
      <c r="E9" s="300"/>
      <c r="F9" s="300"/>
      <c r="G9" s="300"/>
      <c r="H9" s="303">
        <f>SUM('2_A'!C52:C55,'2_A'!C59,'2_A'!C65:C66,'2_A'!C68)</f>
        <v>6014000</v>
      </c>
      <c r="I9" s="552">
        <f t="shared" si="0"/>
        <v>6014000</v>
      </c>
      <c r="J9" s="38"/>
    </row>
    <row r="10" spans="1:10" ht="15.75" x14ac:dyDescent="0.25">
      <c r="A10" s="551" t="s">
        <v>50</v>
      </c>
      <c r="B10" s="39" t="s">
        <v>66</v>
      </c>
      <c r="C10" s="300"/>
      <c r="D10" s="300"/>
      <c r="E10" s="300"/>
      <c r="F10" s="300"/>
      <c r="G10" s="300"/>
      <c r="H10" s="303">
        <f>SUM('2_A'!C64)</f>
        <v>250000</v>
      </c>
      <c r="I10" s="552">
        <f t="shared" si="0"/>
        <v>250000</v>
      </c>
      <c r="J10" s="38"/>
    </row>
    <row r="11" spans="1:10" ht="15.75" x14ac:dyDescent="0.25">
      <c r="A11" s="551" t="s">
        <v>51</v>
      </c>
      <c r="B11" s="39" t="s">
        <v>67</v>
      </c>
      <c r="C11" s="300"/>
      <c r="D11" s="300">
        <f>'2_A'!C31-'2_A'!C30</f>
        <v>400000</v>
      </c>
      <c r="E11" s="329"/>
      <c r="F11" s="300"/>
      <c r="G11" s="300">
        <f>'2_A'!C47-'2_A'!C46-G6-G8</f>
        <v>-5600000</v>
      </c>
      <c r="H11" s="303">
        <f>SUM('2_A'!C56:C58,'2_A'!C60:C63)</f>
        <v>9120000</v>
      </c>
      <c r="I11" s="552">
        <f t="shared" si="0"/>
        <v>3920000</v>
      </c>
      <c r="J11" s="38"/>
    </row>
    <row r="12" spans="1:10" ht="15.75" x14ac:dyDescent="0.25">
      <c r="A12" s="551" t="s">
        <v>52</v>
      </c>
      <c r="B12" s="39" t="s">
        <v>68</v>
      </c>
      <c r="C12" s="300">
        <f>SUM('2_A'!C7:C19,'2_A'!C21:C22)</f>
        <v>44089208</v>
      </c>
      <c r="D12" s="300"/>
      <c r="E12" s="300">
        <f>'2_A'!C40-'2_A'!C39-'2_A'!C37</f>
        <v>25224105</v>
      </c>
      <c r="F12" s="300"/>
      <c r="G12" s="300"/>
      <c r="H12" s="303">
        <f>SUM('2_A'!C67)</f>
        <v>2000000</v>
      </c>
      <c r="I12" s="552">
        <f t="shared" si="0"/>
        <v>71313313</v>
      </c>
      <c r="J12" s="41"/>
    </row>
    <row r="13" spans="1:10" ht="15.75" x14ac:dyDescent="0.25">
      <c r="A13" s="551" t="s">
        <v>53</v>
      </c>
      <c r="B13" s="39" t="s">
        <v>69</v>
      </c>
      <c r="C13" s="300"/>
      <c r="D13" s="300"/>
      <c r="E13" s="300"/>
      <c r="F13" s="300"/>
      <c r="G13" s="300"/>
      <c r="H13" s="303"/>
      <c r="I13" s="552">
        <f t="shared" si="0"/>
        <v>0</v>
      </c>
      <c r="J13" s="41"/>
    </row>
    <row r="14" spans="1:10" ht="31.5" x14ac:dyDescent="0.25">
      <c r="A14" s="553" t="s">
        <v>54</v>
      </c>
      <c r="B14" s="39" t="s">
        <v>70</v>
      </c>
      <c r="C14" s="300"/>
      <c r="D14" s="300"/>
      <c r="E14" s="300"/>
      <c r="F14" s="300"/>
      <c r="G14" s="300"/>
      <c r="H14" s="303"/>
      <c r="I14" s="552">
        <f t="shared" si="0"/>
        <v>0</v>
      </c>
      <c r="J14" s="41"/>
    </row>
    <row r="15" spans="1:10" ht="31.5" x14ac:dyDescent="0.25">
      <c r="A15" s="553" t="s">
        <v>55</v>
      </c>
      <c r="B15" s="39" t="s">
        <v>71</v>
      </c>
      <c r="C15" s="300">
        <f>'2_A'!C24</f>
        <v>12183306.66</v>
      </c>
      <c r="D15" s="300">
        <f>'2_A'!C30</f>
        <v>108000</v>
      </c>
      <c r="E15" s="300">
        <f>'2_A'!C39</f>
        <v>6999508.3499999996</v>
      </c>
      <c r="F15" s="300"/>
      <c r="G15" s="300">
        <f>'2_A'!C46</f>
        <v>540000</v>
      </c>
      <c r="H15" s="303">
        <f>'2_A'!C69-'2_A'!D66</f>
        <v>4689900</v>
      </c>
      <c r="I15" s="552">
        <f t="shared" si="0"/>
        <v>24520715.009999998</v>
      </c>
      <c r="J15" s="41"/>
    </row>
    <row r="16" spans="1:10" ht="15.75" x14ac:dyDescent="0.25">
      <c r="A16" s="551" t="s">
        <v>56</v>
      </c>
      <c r="B16" s="39" t="s">
        <v>72</v>
      </c>
      <c r="C16" s="300"/>
      <c r="D16" s="300"/>
      <c r="E16" s="300"/>
      <c r="F16" s="300"/>
      <c r="G16" s="300"/>
      <c r="H16" s="303">
        <f>'2_A'!D66</f>
        <v>270000</v>
      </c>
      <c r="I16" s="552">
        <f t="shared" si="0"/>
        <v>270000</v>
      </c>
      <c r="J16" s="41"/>
    </row>
    <row r="17" spans="1:10" ht="15.75" x14ac:dyDescent="0.25">
      <c r="A17" s="551" t="s">
        <v>57</v>
      </c>
      <c r="B17" s="39" t="s">
        <v>73</v>
      </c>
      <c r="C17" s="300"/>
      <c r="D17" s="300"/>
      <c r="E17" s="300"/>
      <c r="F17" s="300"/>
      <c r="G17" s="300"/>
      <c r="H17" s="303"/>
      <c r="I17" s="552">
        <f t="shared" si="0"/>
        <v>0</v>
      </c>
      <c r="J17" s="41"/>
    </row>
    <row r="18" spans="1:10" ht="32.25" thickBot="1" x14ac:dyDescent="0.3">
      <c r="A18" s="554" t="s">
        <v>58</v>
      </c>
      <c r="B18" s="42" t="s">
        <v>74</v>
      </c>
      <c r="C18" s="304"/>
      <c r="D18" s="304"/>
      <c r="E18" s="304"/>
      <c r="F18" s="304"/>
      <c r="G18" s="304"/>
      <c r="H18" s="305"/>
      <c r="I18" s="555">
        <f t="shared" si="0"/>
        <v>0</v>
      </c>
      <c r="J18" s="41"/>
    </row>
    <row r="19" spans="1:10" ht="16.5" thickBot="1" x14ac:dyDescent="0.3">
      <c r="A19" s="556" t="s">
        <v>75</v>
      </c>
      <c r="B19" s="43" t="s">
        <v>76</v>
      </c>
      <c r="C19" s="306">
        <f>SUM(C6:C18,)</f>
        <v>59306664.659999996</v>
      </c>
      <c r="D19" s="306">
        <f>SUM(D6:D18,)</f>
        <v>508000</v>
      </c>
      <c r="E19" s="306">
        <f>SUM(E6:E18,)</f>
        <v>32923613.350000001</v>
      </c>
      <c r="F19" s="306"/>
      <c r="G19" s="306">
        <f>SUM(G6:G18)</f>
        <v>3160000</v>
      </c>
      <c r="H19" s="307">
        <f>SUM(H6:H18)</f>
        <v>24543900</v>
      </c>
      <c r="I19" s="308">
        <f t="shared" si="0"/>
        <v>120442178.00999999</v>
      </c>
      <c r="J19" s="41"/>
    </row>
    <row r="20" spans="1:10" ht="15.75" x14ac:dyDescent="0.25">
      <c r="A20" s="557" t="s">
        <v>77</v>
      </c>
      <c r="B20" s="44" t="s">
        <v>78</v>
      </c>
      <c r="C20" s="463"/>
      <c r="D20" s="463"/>
      <c r="E20" s="463"/>
      <c r="F20" s="463"/>
      <c r="G20" s="463"/>
      <c r="H20" s="463">
        <f>'1.'!B107</f>
        <v>97278100</v>
      </c>
      <c r="I20" s="558">
        <f t="shared" si="0"/>
        <v>97278100</v>
      </c>
      <c r="J20" s="38"/>
    </row>
    <row r="21" spans="1:10" ht="15.75" x14ac:dyDescent="0.25">
      <c r="A21" s="559" t="s">
        <v>79</v>
      </c>
      <c r="B21" s="42" t="s">
        <v>80</v>
      </c>
      <c r="C21" s="464"/>
      <c r="D21" s="464"/>
      <c r="E21" s="464"/>
      <c r="F21" s="464"/>
      <c r="G21" s="464"/>
      <c r="H21" s="464">
        <f>'1.'!B111</f>
        <v>41122000</v>
      </c>
      <c r="I21" s="552">
        <f t="shared" si="0"/>
        <v>41122000</v>
      </c>
      <c r="J21" s="38"/>
    </row>
    <row r="22" spans="1:10" ht="15.75" x14ac:dyDescent="0.25">
      <c r="A22" s="560" t="s">
        <v>81</v>
      </c>
      <c r="B22" s="45" t="s">
        <v>82</v>
      </c>
      <c r="C22" s="303">
        <f>SUM(C20:C21,)</f>
        <v>0</v>
      </c>
      <c r="D22" s="303">
        <f t="shared" ref="D22" si="1">SUM(D20:D21,)</f>
        <v>0</v>
      </c>
      <c r="E22" s="303">
        <f>SUM(E20:E21,)</f>
        <v>0</v>
      </c>
      <c r="F22" s="303"/>
      <c r="G22" s="303">
        <f>SUM(G20:G21)</f>
        <v>0</v>
      </c>
      <c r="H22" s="303">
        <f>SUM(H20:H21)</f>
        <v>138400100</v>
      </c>
      <c r="I22" s="552">
        <f t="shared" si="0"/>
        <v>138400100</v>
      </c>
      <c r="J22" s="38"/>
    </row>
    <row r="23" spans="1:10" ht="15.75" x14ac:dyDescent="0.25">
      <c r="A23" s="560" t="s">
        <v>83</v>
      </c>
      <c r="B23" s="46" t="s">
        <v>84</v>
      </c>
      <c r="C23" s="300"/>
      <c r="D23" s="300"/>
      <c r="E23" s="300"/>
      <c r="F23" s="300"/>
      <c r="G23" s="300"/>
      <c r="H23" s="303"/>
      <c r="I23" s="552">
        <f t="shared" si="0"/>
        <v>0</v>
      </c>
      <c r="J23" s="38"/>
    </row>
    <row r="24" spans="1:10" ht="15.75" x14ac:dyDescent="0.25">
      <c r="A24" s="561" t="s">
        <v>85</v>
      </c>
      <c r="B24" s="47" t="s">
        <v>86</v>
      </c>
      <c r="C24" s="300"/>
      <c r="D24" s="300"/>
      <c r="E24" s="300"/>
      <c r="F24" s="300"/>
      <c r="G24" s="300">
        <f>'1.'!B41</f>
        <v>30713000</v>
      </c>
      <c r="H24" s="303"/>
      <c r="I24" s="552">
        <f t="shared" si="0"/>
        <v>30713000</v>
      </c>
      <c r="J24" s="38"/>
    </row>
    <row r="25" spans="1:10" ht="16.5" thickBot="1" x14ac:dyDescent="0.3">
      <c r="A25" s="561" t="s">
        <v>87</v>
      </c>
      <c r="B25" s="47" t="s">
        <v>88</v>
      </c>
      <c r="C25" s="304"/>
      <c r="D25" s="304"/>
      <c r="E25" s="304"/>
      <c r="F25" s="304"/>
      <c r="G25" s="304"/>
      <c r="H25" s="305"/>
      <c r="I25" s="555">
        <f t="shared" si="0"/>
        <v>0</v>
      </c>
      <c r="J25" s="41"/>
    </row>
    <row r="26" spans="1:10" ht="18.75" customHeight="1" thickBot="1" x14ac:dyDescent="0.3">
      <c r="A26" s="562"/>
      <c r="B26" s="49" t="s">
        <v>89</v>
      </c>
      <c r="C26" s="309">
        <f t="shared" ref="C26:F26" si="2">SUM(C19,C22:C25)</f>
        <v>59306664.659999996</v>
      </c>
      <c r="D26" s="309">
        <f t="shared" si="2"/>
        <v>508000</v>
      </c>
      <c r="E26" s="309">
        <f t="shared" si="2"/>
        <v>32923613.350000001</v>
      </c>
      <c r="F26" s="309">
        <f t="shared" si="2"/>
        <v>0</v>
      </c>
      <c r="G26" s="309">
        <f>SUM(G19,G22:G25)</f>
        <v>33873000</v>
      </c>
      <c r="H26" s="309">
        <f t="shared" ref="H26:I26" si="3">SUM(H19,H22:H25)</f>
        <v>162944000</v>
      </c>
      <c r="I26" s="563">
        <f t="shared" si="3"/>
        <v>289555278.00999999</v>
      </c>
      <c r="J26" s="41"/>
    </row>
    <row r="27" spans="1:10" ht="16.5" thickBot="1" x14ac:dyDescent="0.3">
      <c r="A27" s="564" t="s">
        <v>90</v>
      </c>
      <c r="B27" s="50" t="s">
        <v>91</v>
      </c>
      <c r="C27" s="310"/>
      <c r="D27" s="310"/>
      <c r="E27" s="310"/>
      <c r="F27" s="310"/>
      <c r="G27" s="310"/>
      <c r="H27" s="306">
        <f>'1.'!B122</f>
        <v>23477000</v>
      </c>
      <c r="I27" s="565">
        <f t="shared" si="0"/>
        <v>23477000</v>
      </c>
      <c r="J27" s="41"/>
    </row>
    <row r="28" spans="1:10" ht="16.5" thickBot="1" x14ac:dyDescent="0.3">
      <c r="A28" s="566"/>
      <c r="B28" s="51" t="s">
        <v>92</v>
      </c>
      <c r="C28" s="311">
        <f>SUM(C26:C27,)</f>
        <v>59306664.659999996</v>
      </c>
      <c r="D28" s="311">
        <f>SUM(D26:D27,)</f>
        <v>508000</v>
      </c>
      <c r="E28" s="311">
        <f>SUM(E26:E27,)</f>
        <v>32923613.350000001</v>
      </c>
      <c r="F28" s="311"/>
      <c r="G28" s="311">
        <f>SUM(G26:G27,)</f>
        <v>33873000</v>
      </c>
      <c r="H28" s="312">
        <f>SUM(H26:H27)</f>
        <v>186421000</v>
      </c>
      <c r="I28" s="308">
        <f t="shared" si="0"/>
        <v>313032278.00999999</v>
      </c>
      <c r="J28" s="41"/>
    </row>
    <row r="29" spans="1:10" ht="16.5" thickBot="1" x14ac:dyDescent="0.3">
      <c r="A29" s="567" t="s">
        <v>93</v>
      </c>
      <c r="B29" s="52" t="s">
        <v>94</v>
      </c>
      <c r="C29" s="311">
        <f>'10.'!G7</f>
        <v>0</v>
      </c>
      <c r="D29" s="311">
        <f>'10.'!G8</f>
        <v>4132706</v>
      </c>
      <c r="E29" s="313">
        <f>'10.'!G10</f>
        <v>20848320</v>
      </c>
      <c r="F29" s="313">
        <f>'10.'!G9</f>
        <v>14158000</v>
      </c>
      <c r="G29" s="313">
        <f>'10.'!G11</f>
        <v>85281192</v>
      </c>
      <c r="H29" s="314">
        <f>'10.'!G13</f>
        <v>41750130</v>
      </c>
      <c r="I29" s="308">
        <f t="shared" si="0"/>
        <v>166170348</v>
      </c>
      <c r="J29" s="41"/>
    </row>
    <row r="30" spans="1:10" ht="16.5" thickBot="1" x14ac:dyDescent="0.3">
      <c r="A30" s="568" t="s">
        <v>95</v>
      </c>
      <c r="B30" s="273" t="s">
        <v>434</v>
      </c>
      <c r="C30" s="315">
        <f>SUM(C28:C29)</f>
        <v>59306664.659999996</v>
      </c>
      <c r="D30" s="315">
        <f>SUM(D28:D29)</f>
        <v>4640706</v>
      </c>
      <c r="E30" s="315">
        <f t="shared" ref="E30:H30" si="4">SUM(E28:E29)</f>
        <v>53771933.350000001</v>
      </c>
      <c r="F30" s="315">
        <f>SUM(F28:F29)</f>
        <v>14158000</v>
      </c>
      <c r="G30" s="315">
        <f t="shared" si="4"/>
        <v>119154192</v>
      </c>
      <c r="H30" s="316">
        <f t="shared" si="4"/>
        <v>228171130</v>
      </c>
      <c r="I30" s="317">
        <f t="shared" si="0"/>
        <v>479202626.00999999</v>
      </c>
      <c r="J30" s="53"/>
    </row>
    <row r="31" spans="1:10" x14ac:dyDescent="0.25">
      <c r="B31" s="541" t="s">
        <v>690</v>
      </c>
      <c r="C31" s="541"/>
      <c r="D31" s="541"/>
      <c r="E31" s="541"/>
      <c r="F31" s="541"/>
      <c r="G31" s="541"/>
      <c r="H31" s="542">
        <f>'1.'!B133</f>
        <v>15713000</v>
      </c>
      <c r="I31" s="542">
        <f>I30+H31</f>
        <v>494915626.00999999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  <headerFooter>
    <oddHeader>&amp;R2. sz. melléklet / &amp;P.oldal</oddHeader>
  </headerFooter>
  <ignoredErrors>
    <ignoredError sqref="I26 H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B1" workbookViewId="0">
      <selection activeCell="I16" sqref="I16"/>
    </sheetView>
  </sheetViews>
  <sheetFormatPr defaultRowHeight="15" x14ac:dyDescent="0.25"/>
  <cols>
    <col min="1" max="1" width="5.140625" customWidth="1"/>
    <col min="2" max="2" width="39.42578125" customWidth="1"/>
    <col min="3" max="3" width="30.28515625" customWidth="1"/>
    <col min="4" max="4" width="12.42578125" customWidth="1"/>
  </cols>
  <sheetData>
    <row r="1" spans="1:4" x14ac:dyDescent="0.25">
      <c r="A1" s="710" t="s">
        <v>355</v>
      </c>
      <c r="B1" s="710"/>
      <c r="C1" s="710"/>
      <c r="D1" s="710"/>
    </row>
    <row r="2" spans="1:4" x14ac:dyDescent="0.25">
      <c r="A2" s="710" t="s">
        <v>524</v>
      </c>
      <c r="B2" s="710"/>
      <c r="C2" s="710"/>
      <c r="D2" s="710"/>
    </row>
    <row r="3" spans="1:4" x14ac:dyDescent="0.25">
      <c r="A3" s="390"/>
      <c r="B3" s="390"/>
      <c r="C3" s="390"/>
      <c r="D3" s="390"/>
    </row>
    <row r="4" spans="1:4" x14ac:dyDescent="0.25">
      <c r="A4" s="390"/>
      <c r="B4" s="390"/>
      <c r="C4" s="390"/>
      <c r="D4" s="390"/>
    </row>
    <row r="5" spans="1:4" ht="15.75" thickBot="1" x14ac:dyDescent="0.3">
      <c r="A5" s="711" t="s">
        <v>354</v>
      </c>
      <c r="B5" s="711"/>
      <c r="C5" s="711"/>
      <c r="D5" s="711"/>
    </row>
    <row r="6" spans="1:4" ht="15.75" thickBot="1" x14ac:dyDescent="0.3">
      <c r="A6" s="391"/>
      <c r="B6" s="712" t="s">
        <v>280</v>
      </c>
      <c r="C6" s="713"/>
      <c r="D6" s="392" t="s">
        <v>281</v>
      </c>
    </row>
    <row r="7" spans="1:4" ht="45.75" thickBot="1" x14ac:dyDescent="0.3">
      <c r="A7" s="393" t="s">
        <v>275</v>
      </c>
      <c r="B7" s="714" t="s">
        <v>345</v>
      </c>
      <c r="C7" s="715"/>
      <c r="D7" s="394" t="s">
        <v>346</v>
      </c>
    </row>
    <row r="8" spans="1:4" x14ac:dyDescent="0.25">
      <c r="A8" s="395" t="s">
        <v>46</v>
      </c>
      <c r="B8" s="708" t="s">
        <v>347</v>
      </c>
      <c r="C8" s="709"/>
      <c r="D8" s="396">
        <v>0</v>
      </c>
    </row>
    <row r="9" spans="1:4" x14ac:dyDescent="0.25">
      <c r="A9" s="397" t="s">
        <v>47</v>
      </c>
      <c r="B9" s="702" t="s">
        <v>348</v>
      </c>
      <c r="C9" s="703"/>
      <c r="D9" s="398">
        <v>0</v>
      </c>
    </row>
    <row r="10" spans="1:4" x14ac:dyDescent="0.25">
      <c r="A10" s="399" t="s">
        <v>48</v>
      </c>
      <c r="B10" s="702" t="s">
        <v>521</v>
      </c>
      <c r="C10" s="703"/>
      <c r="D10" s="398">
        <v>1420000</v>
      </c>
    </row>
    <row r="11" spans="1:4" x14ac:dyDescent="0.25">
      <c r="A11" s="399" t="s">
        <v>49</v>
      </c>
      <c r="B11" s="702" t="s">
        <v>349</v>
      </c>
      <c r="C11" s="703"/>
      <c r="D11" s="398">
        <v>882000</v>
      </c>
    </row>
    <row r="12" spans="1:4" x14ac:dyDescent="0.25">
      <c r="A12" s="399" t="s">
        <v>50</v>
      </c>
      <c r="B12" s="706" t="s">
        <v>350</v>
      </c>
      <c r="C12" s="707"/>
      <c r="D12" s="398">
        <v>0</v>
      </c>
    </row>
    <row r="13" spans="1:4" x14ac:dyDescent="0.25">
      <c r="A13" s="399" t="s">
        <v>51</v>
      </c>
      <c r="B13" s="702" t="s">
        <v>351</v>
      </c>
      <c r="C13" s="703"/>
      <c r="D13" s="398">
        <v>0</v>
      </c>
    </row>
    <row r="14" spans="1:4" ht="15.75" thickBot="1" x14ac:dyDescent="0.3">
      <c r="A14" s="399" t="s">
        <v>52</v>
      </c>
      <c r="B14" s="702" t="s">
        <v>352</v>
      </c>
      <c r="C14" s="703"/>
      <c r="D14" s="398">
        <v>0</v>
      </c>
    </row>
    <row r="15" spans="1:4" ht="15.75" thickBot="1" x14ac:dyDescent="0.3">
      <c r="A15" s="400" t="s">
        <v>53</v>
      </c>
      <c r="B15" s="704" t="s">
        <v>353</v>
      </c>
      <c r="C15" s="705"/>
      <c r="D15" s="401">
        <f>SUM(D8:D14)</f>
        <v>2302000</v>
      </c>
    </row>
    <row r="16" spans="1:4" x14ac:dyDescent="0.25">
      <c r="A16" s="390"/>
      <c r="B16" s="390"/>
      <c r="C16" s="390"/>
      <c r="D16" s="390"/>
    </row>
    <row r="17" spans="1:5" x14ac:dyDescent="0.25">
      <c r="A17" s="402" t="s">
        <v>366</v>
      </c>
      <c r="B17" s="390"/>
      <c r="C17" s="390"/>
      <c r="D17" s="390"/>
    </row>
    <row r="18" spans="1:5" x14ac:dyDescent="0.25">
      <c r="A18" s="403" t="s">
        <v>356</v>
      </c>
      <c r="B18" s="404"/>
      <c r="C18" s="404"/>
      <c r="D18" s="404"/>
    </row>
    <row r="19" spans="1:5" x14ac:dyDescent="0.25">
      <c r="A19" s="404"/>
      <c r="B19" s="405" t="s">
        <v>522</v>
      </c>
      <c r="C19" s="406"/>
      <c r="D19" s="404"/>
      <c r="E19" s="204"/>
    </row>
    <row r="20" spans="1:5" x14ac:dyDescent="0.25">
      <c r="A20" s="404"/>
      <c r="B20" s="406" t="s">
        <v>357</v>
      </c>
      <c r="C20" s="407" t="s">
        <v>517</v>
      </c>
      <c r="D20" s="408">
        <v>307938</v>
      </c>
    </row>
    <row r="21" spans="1:5" x14ac:dyDescent="0.25">
      <c r="A21" s="404"/>
      <c r="B21" s="406" t="s">
        <v>358</v>
      </c>
      <c r="C21" s="407" t="s">
        <v>518</v>
      </c>
      <c r="D21" s="408">
        <v>164730</v>
      </c>
    </row>
    <row r="22" spans="1:5" x14ac:dyDescent="0.25">
      <c r="A22" s="404"/>
      <c r="B22" s="406" t="s">
        <v>359</v>
      </c>
      <c r="C22" s="407" t="s">
        <v>519</v>
      </c>
      <c r="D22" s="409">
        <v>51336</v>
      </c>
    </row>
    <row r="23" spans="1:5" x14ac:dyDescent="0.25">
      <c r="A23" s="404"/>
      <c r="B23" s="404"/>
      <c r="C23" s="387"/>
      <c r="D23" s="388">
        <f>SUM(D20:D22)</f>
        <v>524004</v>
      </c>
    </row>
    <row r="24" spans="1:5" x14ac:dyDescent="0.25">
      <c r="A24" s="403" t="s">
        <v>360</v>
      </c>
      <c r="B24" s="404"/>
      <c r="C24" s="387"/>
      <c r="D24" s="389"/>
      <c r="E24" s="204"/>
    </row>
    <row r="25" spans="1:5" x14ac:dyDescent="0.25">
      <c r="A25" s="404"/>
      <c r="B25" s="405" t="s">
        <v>523</v>
      </c>
      <c r="C25" s="407" t="s">
        <v>520</v>
      </c>
      <c r="D25" s="408">
        <v>341245</v>
      </c>
    </row>
    <row r="26" spans="1:5" x14ac:dyDescent="0.25">
      <c r="A26" s="404"/>
      <c r="B26" s="405" t="s">
        <v>361</v>
      </c>
      <c r="C26" s="407" t="s">
        <v>364</v>
      </c>
      <c r="D26" s="408">
        <v>0</v>
      </c>
    </row>
    <row r="27" spans="1:5" x14ac:dyDescent="0.25">
      <c r="A27" s="404"/>
      <c r="B27" s="406" t="s">
        <v>362</v>
      </c>
      <c r="C27" s="407" t="s">
        <v>680</v>
      </c>
      <c r="D27" s="408">
        <v>554751</v>
      </c>
    </row>
    <row r="28" spans="1:5" x14ac:dyDescent="0.25">
      <c r="A28" s="404"/>
      <c r="B28" s="406" t="s">
        <v>363</v>
      </c>
      <c r="C28" s="407" t="s">
        <v>364</v>
      </c>
      <c r="D28" s="410">
        <v>0</v>
      </c>
    </row>
    <row r="29" spans="1:5" x14ac:dyDescent="0.25">
      <c r="A29" s="404"/>
      <c r="B29" s="405"/>
      <c r="C29" s="407"/>
      <c r="D29" s="408">
        <f>SUM(D25:D28)</f>
        <v>895996</v>
      </c>
    </row>
    <row r="30" spans="1:5" x14ac:dyDescent="0.25">
      <c r="A30" s="205" t="s">
        <v>365</v>
      </c>
      <c r="B30" s="411"/>
      <c r="C30" s="411"/>
      <c r="D30" s="411"/>
    </row>
    <row r="31" spans="1:5" x14ac:dyDescent="0.25">
      <c r="A31" s="404"/>
      <c r="B31" s="404"/>
      <c r="C31" s="404"/>
      <c r="D31" s="412">
        <f>SUM(D23,D29,)</f>
        <v>1420000</v>
      </c>
    </row>
  </sheetData>
  <mergeCells count="13">
    <mergeCell ref="B8:C8"/>
    <mergeCell ref="A1:D1"/>
    <mergeCell ref="A2:D2"/>
    <mergeCell ref="A5:D5"/>
    <mergeCell ref="B6:C6"/>
    <mergeCell ref="B7:C7"/>
    <mergeCell ref="B14:C14"/>
    <mergeCell ref="B15:C15"/>
    <mergeCell ref="B9:C9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&amp;R13. sz. melléklet / &amp;P.oldal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J2"/>
    </sheetView>
  </sheetViews>
  <sheetFormatPr defaultRowHeight="15" x14ac:dyDescent="0.25"/>
  <cols>
    <col min="1" max="1" width="4" customWidth="1"/>
    <col min="2" max="2" width="29.5703125" customWidth="1"/>
    <col min="3" max="9" width="10.7109375" customWidth="1"/>
    <col min="10" max="10" width="22.57031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25">
      <c r="A2" s="716" t="s">
        <v>374</v>
      </c>
      <c r="B2" s="716"/>
      <c r="C2" s="716"/>
      <c r="D2" s="716"/>
      <c r="E2" s="716"/>
      <c r="F2" s="716"/>
      <c r="G2" s="716"/>
      <c r="H2" s="716"/>
      <c r="I2" s="716"/>
      <c r="J2" s="716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63" x14ac:dyDescent="0.25">
      <c r="A5" s="209"/>
      <c r="B5" s="210" t="s">
        <v>375</v>
      </c>
      <c r="C5" s="210" t="s">
        <v>417</v>
      </c>
      <c r="D5" s="210" t="s">
        <v>376</v>
      </c>
      <c r="E5" s="210" t="s">
        <v>377</v>
      </c>
      <c r="F5" s="210" t="s">
        <v>378</v>
      </c>
      <c r="G5" s="210" t="s">
        <v>379</v>
      </c>
      <c r="H5" s="210" t="s">
        <v>380</v>
      </c>
      <c r="I5" s="210" t="s">
        <v>418</v>
      </c>
      <c r="J5" s="211" t="s">
        <v>381</v>
      </c>
    </row>
    <row r="6" spans="1:10" ht="15.75" x14ac:dyDescent="0.25">
      <c r="A6" s="212" t="s">
        <v>46</v>
      </c>
      <c r="B6" s="207" t="s">
        <v>478</v>
      </c>
      <c r="C6" s="208">
        <v>300</v>
      </c>
      <c r="D6" s="208">
        <v>250</v>
      </c>
      <c r="E6" s="40">
        <f>D6*E12</f>
        <v>257.5</v>
      </c>
      <c r="F6" s="40">
        <f t="shared" ref="F6:I6" si="0">E6*F12</f>
        <v>264.96749999999997</v>
      </c>
      <c r="G6" s="40">
        <f t="shared" si="0"/>
        <v>272.38658999999996</v>
      </c>
      <c r="H6" s="40">
        <f t="shared" si="0"/>
        <v>279.19625474999992</v>
      </c>
      <c r="I6" s="40">
        <f t="shared" si="0"/>
        <v>286.17616111874992</v>
      </c>
      <c r="J6" s="213"/>
    </row>
    <row r="7" spans="1:10" ht="16.5" thickBot="1" x14ac:dyDescent="0.3">
      <c r="A7" s="214"/>
      <c r="B7" s="215" t="s">
        <v>353</v>
      </c>
      <c r="C7" s="216">
        <f t="shared" ref="C7:I7" si="1">SUM(C6:C6)</f>
        <v>300</v>
      </c>
      <c r="D7" s="48">
        <f t="shared" si="1"/>
        <v>250</v>
      </c>
      <c r="E7" s="48">
        <f t="shared" si="1"/>
        <v>257.5</v>
      </c>
      <c r="F7" s="48">
        <f t="shared" si="1"/>
        <v>264.96749999999997</v>
      </c>
      <c r="G7" s="48">
        <f t="shared" si="1"/>
        <v>272.38658999999996</v>
      </c>
      <c r="H7" s="48">
        <f t="shared" si="1"/>
        <v>279.19625474999992</v>
      </c>
      <c r="I7" s="48">
        <f t="shared" si="1"/>
        <v>286.17616111874992</v>
      </c>
      <c r="J7" s="217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.7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 x14ac:dyDescent="0.25">
      <c r="A12" s="29"/>
      <c r="B12" s="29" t="s">
        <v>382</v>
      </c>
      <c r="C12" s="29"/>
      <c r="D12" s="206">
        <v>1.04</v>
      </c>
      <c r="E12" s="206">
        <v>1.03</v>
      </c>
      <c r="F12" s="206">
        <v>1.0289999999999999</v>
      </c>
      <c r="G12" s="206">
        <v>1.028</v>
      </c>
      <c r="H12" s="206">
        <v>1.0249999999999999</v>
      </c>
      <c r="I12" s="206">
        <v>1.0249999999999999</v>
      </c>
      <c r="J12" s="29"/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&amp;R14. sz. melléklet / &amp;P.oldal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2" sqref="A2:J2"/>
    </sheetView>
  </sheetViews>
  <sheetFormatPr defaultRowHeight="15" x14ac:dyDescent="0.25"/>
  <cols>
    <col min="1" max="1" width="4" customWidth="1"/>
    <col min="2" max="2" width="29.5703125" customWidth="1"/>
    <col min="3" max="9" width="10.7109375" customWidth="1"/>
    <col min="10" max="10" width="22.57031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25">
      <c r="A2" s="716" t="s">
        <v>419</v>
      </c>
      <c r="B2" s="716"/>
      <c r="C2" s="716"/>
      <c r="D2" s="716"/>
      <c r="E2" s="716"/>
      <c r="F2" s="716"/>
      <c r="G2" s="716"/>
      <c r="H2" s="716"/>
      <c r="I2" s="716"/>
      <c r="J2" s="716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63" x14ac:dyDescent="0.25">
      <c r="A5" s="209"/>
      <c r="B5" s="210" t="s">
        <v>375</v>
      </c>
      <c r="C5" s="210" t="s">
        <v>417</v>
      </c>
      <c r="D5" s="210" t="s">
        <v>376</v>
      </c>
      <c r="E5" s="210" t="s">
        <v>377</v>
      </c>
      <c r="F5" s="210" t="s">
        <v>378</v>
      </c>
      <c r="G5" s="210" t="s">
        <v>379</v>
      </c>
      <c r="H5" s="210" t="s">
        <v>380</v>
      </c>
      <c r="I5" s="210" t="s">
        <v>418</v>
      </c>
      <c r="J5" s="211" t="s">
        <v>381</v>
      </c>
    </row>
    <row r="6" spans="1:10" ht="15.75" x14ac:dyDescent="0.25">
      <c r="A6" s="212" t="s">
        <v>46</v>
      </c>
      <c r="B6" s="207" t="s">
        <v>477</v>
      </c>
      <c r="C6" s="208">
        <v>0</v>
      </c>
      <c r="D6" s="208">
        <v>0</v>
      </c>
      <c r="E6" s="40">
        <f>D6*E11</f>
        <v>0</v>
      </c>
      <c r="F6" s="40">
        <f>E6*F11</f>
        <v>0</v>
      </c>
      <c r="G6" s="40">
        <f>F6*G11</f>
        <v>0</v>
      </c>
      <c r="H6" s="40">
        <f>G6*H11</f>
        <v>0</v>
      </c>
      <c r="I6" s="40">
        <f>H6*I11</f>
        <v>0</v>
      </c>
      <c r="J6" s="213"/>
    </row>
    <row r="7" spans="1:10" ht="16.5" thickBot="1" x14ac:dyDescent="0.3">
      <c r="A7" s="214"/>
      <c r="B7" s="215" t="s">
        <v>353</v>
      </c>
      <c r="C7" s="216">
        <f t="shared" ref="C7:I7" si="0">SUM(C6:C6)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217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</sheetData>
  <mergeCells count="1">
    <mergeCell ref="A2:J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&amp;R15. sz. melléklet / &amp;P.oldal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2"/>
  <sheetViews>
    <sheetView topLeftCell="H10" workbookViewId="0">
      <selection activeCell="AE26" sqref="AE26"/>
    </sheetView>
  </sheetViews>
  <sheetFormatPr defaultRowHeight="15" x14ac:dyDescent="0.25"/>
  <cols>
    <col min="1" max="1" width="3.28515625" customWidth="1"/>
    <col min="2" max="2" width="28.28515625" customWidth="1"/>
    <col min="3" max="3" width="14.28515625" bestFit="1" customWidth="1"/>
    <col min="4" max="4" width="9.140625" customWidth="1"/>
    <col min="5" max="5" width="9.28515625" bestFit="1" customWidth="1"/>
    <col min="6" max="6" width="10.7109375" bestFit="1" customWidth="1"/>
    <col min="7" max="7" width="9.28515625" bestFit="1" customWidth="1"/>
    <col min="8" max="8" width="9.28515625" customWidth="1"/>
    <col min="9" max="9" width="9.28515625" bestFit="1" customWidth="1"/>
    <col min="10" max="10" width="9.5703125" customWidth="1"/>
    <col min="11" max="11" width="9.28515625" bestFit="1" customWidth="1"/>
    <col min="12" max="12" width="10.5703125" customWidth="1"/>
    <col min="13" max="13" width="9.28515625" bestFit="1" customWidth="1"/>
    <col min="14" max="14" width="10.42578125" customWidth="1"/>
    <col min="15" max="15" width="9.85546875" customWidth="1"/>
    <col min="16" max="16" width="11.140625" customWidth="1"/>
    <col min="17" max="17" width="9.28515625" bestFit="1" customWidth="1"/>
    <col min="18" max="18" width="10.5703125" customWidth="1"/>
    <col min="19" max="19" width="9.28515625" bestFit="1" customWidth="1"/>
    <col min="20" max="20" width="10.42578125" customWidth="1"/>
    <col min="21" max="21" width="9.28515625" bestFit="1" customWidth="1"/>
    <col min="22" max="22" width="10.5703125" customWidth="1"/>
    <col min="23" max="23" width="9.28515625" bestFit="1" customWidth="1"/>
    <col min="24" max="24" width="10.5703125" customWidth="1"/>
    <col min="25" max="25" width="9.7109375" customWidth="1"/>
    <col min="26" max="26" width="10.5703125" customWidth="1"/>
    <col min="27" max="27" width="10.7109375" customWidth="1"/>
    <col min="29" max="29" width="9.85546875" bestFit="1" customWidth="1"/>
  </cols>
  <sheetData>
    <row r="2" spans="1:34" ht="15.75" x14ac:dyDescent="0.25">
      <c r="A2" s="723" t="s">
        <v>565</v>
      </c>
      <c r="B2" s="723"/>
      <c r="C2" s="723"/>
      <c r="D2" s="723"/>
      <c r="E2" s="723"/>
      <c r="F2" s="723"/>
      <c r="G2" s="723"/>
      <c r="H2" s="723"/>
      <c r="I2" s="723"/>
      <c r="J2" s="724"/>
      <c r="K2" s="724"/>
      <c r="L2" s="72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34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34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</row>
    <row r="5" spans="1:34" ht="15.75" x14ac:dyDescent="0.25">
      <c r="A5" s="218"/>
      <c r="B5" s="204"/>
      <c r="C5" s="218"/>
      <c r="D5" s="218"/>
      <c r="E5" s="218"/>
      <c r="F5" s="218"/>
      <c r="G5" s="218"/>
      <c r="H5" s="218"/>
      <c r="I5" s="219"/>
      <c r="J5" s="219"/>
      <c r="K5" s="218"/>
      <c r="L5" s="218"/>
      <c r="M5" s="218"/>
      <c r="N5" s="204"/>
      <c r="O5" s="218"/>
      <c r="P5" s="220"/>
      <c r="Q5" s="220"/>
      <c r="R5" s="220"/>
      <c r="S5" s="204"/>
      <c r="T5" s="204"/>
      <c r="U5" s="204"/>
      <c r="V5" s="204"/>
      <c r="W5" s="204"/>
      <c r="X5" s="204"/>
      <c r="Y5" s="204"/>
      <c r="Z5" s="204"/>
      <c r="AA5" s="221"/>
    </row>
    <row r="6" spans="1:34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34" ht="15.75" x14ac:dyDescent="0.25">
      <c r="A7" s="220" t="s">
        <v>383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22" t="s">
        <v>37</v>
      </c>
      <c r="AA7" s="222"/>
    </row>
    <row r="8" spans="1:34" x14ac:dyDescent="0.25">
      <c r="A8" s="729" t="s">
        <v>384</v>
      </c>
      <c r="B8" s="730"/>
      <c r="C8" s="731" t="s">
        <v>385</v>
      </c>
      <c r="D8" s="734"/>
      <c r="E8" s="731" t="s">
        <v>386</v>
      </c>
      <c r="F8" s="734"/>
      <c r="G8" s="731" t="s">
        <v>387</v>
      </c>
      <c r="H8" s="734"/>
      <c r="I8" s="731" t="s">
        <v>388</v>
      </c>
      <c r="J8" s="734"/>
      <c r="K8" s="731" t="s">
        <v>389</v>
      </c>
      <c r="L8" s="734"/>
      <c r="M8" s="731" t="s">
        <v>390</v>
      </c>
      <c r="N8" s="734"/>
      <c r="O8" s="731" t="s">
        <v>391</v>
      </c>
      <c r="P8" s="734"/>
      <c r="Q8" s="731" t="s">
        <v>392</v>
      </c>
      <c r="R8" s="734"/>
      <c r="S8" s="731" t="s">
        <v>393</v>
      </c>
      <c r="T8" s="734"/>
      <c r="U8" s="731" t="s">
        <v>394</v>
      </c>
      <c r="V8" s="734"/>
      <c r="W8" s="731" t="s">
        <v>395</v>
      </c>
      <c r="X8" s="734"/>
      <c r="Y8" s="731" t="s">
        <v>396</v>
      </c>
      <c r="Z8" s="734"/>
      <c r="AA8" s="718" t="s">
        <v>252</v>
      </c>
      <c r="AC8" t="s">
        <v>651</v>
      </c>
      <c r="AE8" t="s">
        <v>656</v>
      </c>
      <c r="AG8" t="s">
        <v>657</v>
      </c>
    </row>
    <row r="9" spans="1:34" x14ac:dyDescent="0.25">
      <c r="A9" s="721"/>
      <c r="B9" s="722"/>
      <c r="C9" s="223" t="s">
        <v>397</v>
      </c>
      <c r="D9" s="223" t="s">
        <v>398</v>
      </c>
      <c r="E9" s="223" t="s">
        <v>397</v>
      </c>
      <c r="F9" s="223" t="s">
        <v>398</v>
      </c>
      <c r="G9" s="223" t="s">
        <v>397</v>
      </c>
      <c r="H9" s="223" t="s">
        <v>398</v>
      </c>
      <c r="I9" s="223" t="s">
        <v>397</v>
      </c>
      <c r="J9" s="223" t="s">
        <v>398</v>
      </c>
      <c r="K9" s="223" t="s">
        <v>397</v>
      </c>
      <c r="L9" s="223" t="s">
        <v>398</v>
      </c>
      <c r="M9" s="223" t="s">
        <v>397</v>
      </c>
      <c r="N9" s="223" t="s">
        <v>398</v>
      </c>
      <c r="O9" s="223" t="s">
        <v>397</v>
      </c>
      <c r="P9" s="223" t="s">
        <v>398</v>
      </c>
      <c r="Q9" s="223" t="s">
        <v>397</v>
      </c>
      <c r="R9" s="223" t="s">
        <v>398</v>
      </c>
      <c r="S9" s="223" t="s">
        <v>397</v>
      </c>
      <c r="T9" s="223" t="s">
        <v>398</v>
      </c>
      <c r="U9" s="223" t="s">
        <v>397</v>
      </c>
      <c r="V9" s="223" t="s">
        <v>398</v>
      </c>
      <c r="W9" s="223" t="s">
        <v>397</v>
      </c>
      <c r="X9" s="223" t="s">
        <v>398</v>
      </c>
      <c r="Y9" s="223" t="s">
        <v>397</v>
      </c>
      <c r="Z9" s="223" t="s">
        <v>398</v>
      </c>
      <c r="AA9" s="735"/>
      <c r="AC9" s="483" t="s">
        <v>653</v>
      </c>
    </row>
    <row r="10" spans="1:34" x14ac:dyDescent="0.25">
      <c r="A10" s="223" t="s">
        <v>46</v>
      </c>
      <c r="B10" s="224" t="s">
        <v>399</v>
      </c>
      <c r="C10" s="225">
        <v>10000</v>
      </c>
      <c r="D10" s="226">
        <f>SUM(C10)</f>
        <v>10000</v>
      </c>
      <c r="E10" s="225">
        <v>10000</v>
      </c>
      <c r="F10" s="226">
        <f t="shared" ref="F10:F19" si="0">SUM(D10:E10)</f>
        <v>20000</v>
      </c>
      <c r="G10" s="225">
        <v>11000</v>
      </c>
      <c r="H10" s="226">
        <f t="shared" ref="H10:H19" si="1">SUM(F10:G10)</f>
        <v>31000</v>
      </c>
      <c r="I10" s="225">
        <v>11000</v>
      </c>
      <c r="J10" s="226">
        <f t="shared" ref="J10:J19" si="2">SUM(H10:I10)</f>
        <v>42000</v>
      </c>
      <c r="K10" s="225">
        <v>11000</v>
      </c>
      <c r="L10" s="226">
        <f t="shared" ref="L10:L19" si="3">SUM(J10:K10)</f>
        <v>53000</v>
      </c>
      <c r="M10" s="225">
        <v>9000</v>
      </c>
      <c r="N10" s="226">
        <f t="shared" ref="N10:N19" si="4">SUM(L10:M10)</f>
        <v>62000</v>
      </c>
      <c r="O10" s="225">
        <v>7000</v>
      </c>
      <c r="P10" s="226">
        <f t="shared" ref="P10:P19" si="5">SUM(N10:O10)</f>
        <v>69000</v>
      </c>
      <c r="Q10" s="225">
        <v>7000</v>
      </c>
      <c r="R10" s="226">
        <f t="shared" ref="R10:R19" si="6">SUM(P10:Q10)</f>
        <v>76000</v>
      </c>
      <c r="S10" s="225">
        <v>10000</v>
      </c>
      <c r="T10" s="226">
        <f t="shared" ref="T10:T19" si="7">SUM(R10:S10)</f>
        <v>86000</v>
      </c>
      <c r="U10" s="225">
        <v>12000</v>
      </c>
      <c r="V10" s="226">
        <f t="shared" ref="V10:V19" si="8">SUM(T10:U10)</f>
        <v>98000</v>
      </c>
      <c r="W10" s="225">
        <v>12442</v>
      </c>
      <c r="X10" s="226">
        <f t="shared" ref="X10:Z19" si="9">SUM(V10:W10)</f>
        <v>110442</v>
      </c>
      <c r="Y10" s="225">
        <v>10000</v>
      </c>
      <c r="Z10" s="226">
        <f>SUM(X10:Y10)</f>
        <v>120442</v>
      </c>
      <c r="AA10" s="225">
        <f>SUM(C10,E10,G10,I10,K10,M10,O10,Q10,S10,U10,W10,Y10)</f>
        <v>120442</v>
      </c>
      <c r="AC10" s="457">
        <f>'1.'!B20</f>
        <v>120442178.00999999</v>
      </c>
      <c r="AD10" s="295">
        <v>120442</v>
      </c>
    </row>
    <row r="11" spans="1:34" x14ac:dyDescent="0.25">
      <c r="A11" s="223" t="s">
        <v>47</v>
      </c>
      <c r="B11" s="224" t="s">
        <v>285</v>
      </c>
      <c r="C11" s="225">
        <v>1800</v>
      </c>
      <c r="D11" s="226">
        <f t="shared" ref="D11:D19" si="10">SUM(C11)</f>
        <v>1800</v>
      </c>
      <c r="E11" s="225"/>
      <c r="F11" s="226">
        <f t="shared" si="0"/>
        <v>1800</v>
      </c>
      <c r="G11" s="225">
        <v>5700</v>
      </c>
      <c r="H11" s="226">
        <f t="shared" si="1"/>
        <v>7500</v>
      </c>
      <c r="I11" s="225">
        <v>3000</v>
      </c>
      <c r="J11" s="226">
        <f t="shared" si="2"/>
        <v>10500</v>
      </c>
      <c r="K11" s="227">
        <v>1000</v>
      </c>
      <c r="L11" s="226">
        <f t="shared" si="3"/>
        <v>11500</v>
      </c>
      <c r="M11" s="227"/>
      <c r="N11" s="226">
        <f>SUM(L11:M11)</f>
        <v>11500</v>
      </c>
      <c r="O11" s="225"/>
      <c r="P11" s="226">
        <f t="shared" si="5"/>
        <v>11500</v>
      </c>
      <c r="Q11" s="227"/>
      <c r="R11" s="226">
        <f t="shared" si="6"/>
        <v>11500</v>
      </c>
      <c r="S11" s="225">
        <v>7800</v>
      </c>
      <c r="T11" s="226">
        <f t="shared" si="7"/>
        <v>19300</v>
      </c>
      <c r="U11" s="225">
        <v>3000</v>
      </c>
      <c r="V11" s="226">
        <f t="shared" si="8"/>
        <v>22300</v>
      </c>
      <c r="W11" s="225">
        <v>500</v>
      </c>
      <c r="X11" s="226">
        <f t="shared" si="9"/>
        <v>22800</v>
      </c>
      <c r="Y11" s="225">
        <v>2213</v>
      </c>
      <c r="Z11" s="226">
        <f t="shared" ref="Z11:Z19" si="11">SUM(X11:Y11)</f>
        <v>25013</v>
      </c>
      <c r="AA11" s="225">
        <f>SUM(C11,E11,G11,I11,K11,M11,O11,Q11,S11,U11,W11,Y11)</f>
        <v>25013</v>
      </c>
      <c r="AC11" s="457">
        <f>SUM('1.'!B28,)</f>
        <v>25013000</v>
      </c>
      <c r="AD11" s="295">
        <v>25013</v>
      </c>
    </row>
    <row r="12" spans="1:34" x14ac:dyDescent="0.25">
      <c r="A12" s="223" t="s">
        <v>48</v>
      </c>
      <c r="B12" s="224" t="s">
        <v>400</v>
      </c>
      <c r="C12" s="225">
        <f>AD12*C52</f>
        <v>260</v>
      </c>
      <c r="D12" s="226">
        <f t="shared" si="10"/>
        <v>260</v>
      </c>
      <c r="E12" s="225">
        <f>AD12*E52</f>
        <v>728.00000000000011</v>
      </c>
      <c r="F12" s="226">
        <f t="shared" si="0"/>
        <v>988.00000000000011</v>
      </c>
      <c r="G12" s="225">
        <f>AD12*G52</f>
        <v>364.00000000000006</v>
      </c>
      <c r="H12" s="226">
        <f t="shared" si="1"/>
        <v>1352.0000000000002</v>
      </c>
      <c r="I12" s="225">
        <f>AD12*I52</f>
        <v>416</v>
      </c>
      <c r="J12" s="226">
        <f t="shared" si="2"/>
        <v>1768.0000000000002</v>
      </c>
      <c r="K12" s="225">
        <f>AD12*K52</f>
        <v>416</v>
      </c>
      <c r="L12" s="226">
        <f t="shared" si="3"/>
        <v>2184</v>
      </c>
      <c r="M12" s="225">
        <f>AD12*M52</f>
        <v>416</v>
      </c>
      <c r="N12" s="226">
        <f t="shared" si="4"/>
        <v>2600</v>
      </c>
      <c r="O12" s="225">
        <f>AD12*O52</f>
        <v>416</v>
      </c>
      <c r="P12" s="226">
        <f t="shared" si="5"/>
        <v>3016</v>
      </c>
      <c r="Q12" s="225">
        <f>AD12*Q52</f>
        <v>416</v>
      </c>
      <c r="R12" s="226">
        <f t="shared" si="6"/>
        <v>3432</v>
      </c>
      <c r="S12" s="225">
        <f>AD12*S52</f>
        <v>416</v>
      </c>
      <c r="T12" s="226">
        <f t="shared" si="7"/>
        <v>3848</v>
      </c>
      <c r="U12" s="225">
        <f>AD12*U52</f>
        <v>416</v>
      </c>
      <c r="V12" s="226">
        <f t="shared" si="8"/>
        <v>4264</v>
      </c>
      <c r="W12" s="225">
        <f>AD12*W52</f>
        <v>416</v>
      </c>
      <c r="X12" s="226">
        <f t="shared" si="9"/>
        <v>4680</v>
      </c>
      <c r="Y12" s="225">
        <f>AD12*Y52</f>
        <v>520</v>
      </c>
      <c r="Z12" s="226">
        <f t="shared" si="9"/>
        <v>5200</v>
      </c>
      <c r="AA12" s="225">
        <f>SUM(C12,E12,G12,I12,K12,M12,O12,Q12,S12,U12,W12,Y12)</f>
        <v>5200</v>
      </c>
      <c r="AC12" s="457">
        <f>'1.'!B33</f>
        <v>5200000</v>
      </c>
      <c r="AD12" s="295">
        <v>5200</v>
      </c>
    </row>
    <row r="13" spans="1:34" x14ac:dyDescent="0.25">
      <c r="A13" s="223" t="s">
        <v>49</v>
      </c>
      <c r="B13" s="224" t="s">
        <v>311</v>
      </c>
      <c r="C13" s="225">
        <f>AD13*C52</f>
        <v>6742.5</v>
      </c>
      <c r="D13" s="226">
        <f t="shared" si="10"/>
        <v>6742.5</v>
      </c>
      <c r="E13" s="225">
        <f>AD13*E52</f>
        <v>18879</v>
      </c>
      <c r="F13" s="226">
        <f t="shared" si="0"/>
        <v>25621.5</v>
      </c>
      <c r="G13" s="225">
        <f>AD13*G52</f>
        <v>9439.5</v>
      </c>
      <c r="H13" s="226">
        <f t="shared" si="1"/>
        <v>35061</v>
      </c>
      <c r="I13" s="225">
        <f>AD13*I52</f>
        <v>10788</v>
      </c>
      <c r="J13" s="226">
        <f t="shared" si="2"/>
        <v>45849</v>
      </c>
      <c r="K13" s="225">
        <f>AD13*K52</f>
        <v>10788</v>
      </c>
      <c r="L13" s="226">
        <f t="shared" si="3"/>
        <v>56637</v>
      </c>
      <c r="M13" s="225">
        <f>AD13*M52</f>
        <v>10788</v>
      </c>
      <c r="N13" s="226">
        <f t="shared" si="4"/>
        <v>67425</v>
      </c>
      <c r="O13" s="225">
        <f>AD13*O52</f>
        <v>10788</v>
      </c>
      <c r="P13" s="226">
        <f t="shared" si="5"/>
        <v>78213</v>
      </c>
      <c r="Q13" s="225">
        <f>AD13*Q52</f>
        <v>10788</v>
      </c>
      <c r="R13" s="226">
        <f t="shared" si="6"/>
        <v>89001</v>
      </c>
      <c r="S13" s="225">
        <f>AD13*S52</f>
        <v>10788</v>
      </c>
      <c r="T13" s="226">
        <f t="shared" si="7"/>
        <v>99789</v>
      </c>
      <c r="U13" s="225">
        <f>AD13*U52</f>
        <v>10788</v>
      </c>
      <c r="V13" s="226">
        <f t="shared" si="8"/>
        <v>110577</v>
      </c>
      <c r="W13" s="225">
        <f>AD13*W52</f>
        <v>10788</v>
      </c>
      <c r="X13" s="226">
        <f t="shared" si="9"/>
        <v>121365</v>
      </c>
      <c r="Y13" s="225">
        <f>AD13*Y52</f>
        <v>13485</v>
      </c>
      <c r="Z13" s="226">
        <f t="shared" si="11"/>
        <v>134850</v>
      </c>
      <c r="AA13" s="225">
        <f t="shared" ref="AA13:AA20" si="12">SUM(C13,E13,G13,I13,K13,M13,O13,Q13,S13,U13,W13,Y13)</f>
        <v>134850</v>
      </c>
      <c r="AC13" s="457">
        <f>'1.'!B84</f>
        <v>134850348</v>
      </c>
      <c r="AD13" s="295">
        <v>134850</v>
      </c>
    </row>
    <row r="14" spans="1:34" x14ac:dyDescent="0.25">
      <c r="A14" s="223" t="s">
        <v>50</v>
      </c>
      <c r="B14" s="224" t="s">
        <v>649</v>
      </c>
      <c r="C14" s="225">
        <f>AH14*C52</f>
        <v>1566</v>
      </c>
      <c r="D14" s="226">
        <f t="shared" si="10"/>
        <v>1566</v>
      </c>
      <c r="E14" s="225">
        <f>AH14*E52</f>
        <v>4384.8</v>
      </c>
      <c r="F14" s="226">
        <f t="shared" si="0"/>
        <v>5950.8</v>
      </c>
      <c r="G14" s="225">
        <f>AH14*G52</f>
        <v>2192.4</v>
      </c>
      <c r="H14" s="226">
        <f t="shared" si="1"/>
        <v>8143.2000000000007</v>
      </c>
      <c r="I14" s="225">
        <f>AH14*I52</f>
        <v>2505.6</v>
      </c>
      <c r="J14" s="226">
        <f t="shared" si="2"/>
        <v>10648.800000000001</v>
      </c>
      <c r="K14" s="225">
        <f>AH14*K52</f>
        <v>2505.6</v>
      </c>
      <c r="L14" s="226">
        <f t="shared" si="3"/>
        <v>13154.400000000001</v>
      </c>
      <c r="M14" s="225">
        <f>(AH14*M52)+( AG14*(C52+E52+G52+I52+K52+M52))</f>
        <v>2505.6</v>
      </c>
      <c r="N14" s="226">
        <f t="shared" si="4"/>
        <v>15660.000000000002</v>
      </c>
      <c r="O14" s="225">
        <f>(AD14*O52)</f>
        <v>2505.6</v>
      </c>
      <c r="P14" s="226">
        <f t="shared" si="5"/>
        <v>18165.600000000002</v>
      </c>
      <c r="Q14" s="225">
        <f>(AD14*Q52)</f>
        <v>2505.6</v>
      </c>
      <c r="R14" s="226">
        <f t="shared" si="6"/>
        <v>20671.2</v>
      </c>
      <c r="S14" s="225">
        <f>(AD14*S52)</f>
        <v>2505.6</v>
      </c>
      <c r="T14" s="226">
        <f t="shared" si="7"/>
        <v>23176.799999999999</v>
      </c>
      <c r="U14" s="225">
        <f>(AD14*U52)</f>
        <v>2505.6</v>
      </c>
      <c r="V14" s="226">
        <f t="shared" si="8"/>
        <v>25682.399999999998</v>
      </c>
      <c r="W14" s="225">
        <f>(AD14*W52)</f>
        <v>2505.6</v>
      </c>
      <c r="X14" s="226">
        <f t="shared" si="9"/>
        <v>28187.999999999996</v>
      </c>
      <c r="Y14" s="225">
        <f>(AD14*Y52)</f>
        <v>3132</v>
      </c>
      <c r="Z14" s="226">
        <f t="shared" si="11"/>
        <v>31319.999999999996</v>
      </c>
      <c r="AA14" s="225">
        <f t="shared" si="12"/>
        <v>31319.999999999996</v>
      </c>
      <c r="AC14" s="457">
        <f>'1.'!B89</f>
        <v>31320000</v>
      </c>
      <c r="AD14" s="295">
        <v>31320</v>
      </c>
      <c r="AE14" s="457">
        <f>'1.'!B87</f>
        <v>0</v>
      </c>
      <c r="AF14" s="457">
        <f>'1.'!B88</f>
        <v>31320000</v>
      </c>
      <c r="AG14">
        <v>0</v>
      </c>
      <c r="AH14">
        <v>31320</v>
      </c>
    </row>
    <row r="15" spans="1:34" x14ac:dyDescent="0.25">
      <c r="A15" s="223" t="s">
        <v>51</v>
      </c>
      <c r="B15" s="224" t="s">
        <v>401</v>
      </c>
      <c r="C15" s="225"/>
      <c r="D15" s="226">
        <f>SUM(C15)</f>
        <v>0</v>
      </c>
      <c r="E15" s="225"/>
      <c r="F15" s="226">
        <f>SUM(D15:E15)</f>
        <v>0</v>
      </c>
      <c r="G15" s="225"/>
      <c r="H15" s="226">
        <f>SUM(F15:G15)</f>
        <v>0</v>
      </c>
      <c r="I15" s="225"/>
      <c r="J15" s="226">
        <f>SUM(H15:I15)</f>
        <v>0</v>
      </c>
      <c r="K15" s="225"/>
      <c r="L15" s="226">
        <f>SUM(J15:K15)</f>
        <v>0</v>
      </c>
      <c r="M15" s="225"/>
      <c r="N15" s="226">
        <f>SUM(L15:M15)</f>
        <v>0</v>
      </c>
      <c r="O15" s="225"/>
      <c r="P15" s="226">
        <f>SUM(N15:O15)</f>
        <v>0</v>
      </c>
      <c r="Q15" s="225"/>
      <c r="R15" s="226">
        <f>SUM(P15:Q15)</f>
        <v>0</v>
      </c>
      <c r="S15" s="225"/>
      <c r="T15" s="226">
        <f>SUM(R15:S15)</f>
        <v>0</v>
      </c>
      <c r="U15" s="225"/>
      <c r="V15" s="226">
        <f>SUM(T15:U15)</f>
        <v>0</v>
      </c>
      <c r="W15" s="225"/>
      <c r="X15" s="226">
        <f>SUM(V15:W15)</f>
        <v>0</v>
      </c>
      <c r="Y15" s="225"/>
      <c r="Z15" s="226">
        <f>SUM(X15:Y15)</f>
        <v>0</v>
      </c>
      <c r="AA15" s="225">
        <f>SUM(C15,E15,G15,I15,K15,M15,O15,Q15,S15,U15,W15,Y15)</f>
        <v>0</v>
      </c>
      <c r="AC15" s="457"/>
      <c r="AD15" s="295"/>
    </row>
    <row r="16" spans="1:34" x14ac:dyDescent="0.25">
      <c r="A16" s="223" t="s">
        <v>52</v>
      </c>
      <c r="B16" s="224" t="s">
        <v>402</v>
      </c>
      <c r="C16" s="225">
        <v>700</v>
      </c>
      <c r="D16" s="226">
        <f t="shared" si="10"/>
        <v>700</v>
      </c>
      <c r="E16" s="225">
        <v>700</v>
      </c>
      <c r="F16" s="226">
        <f t="shared" si="0"/>
        <v>1400</v>
      </c>
      <c r="G16" s="225">
        <v>1300</v>
      </c>
      <c r="H16" s="226">
        <f t="shared" si="1"/>
        <v>2700</v>
      </c>
      <c r="I16" s="225">
        <v>1200</v>
      </c>
      <c r="J16" s="226">
        <f t="shared" si="2"/>
        <v>3900</v>
      </c>
      <c r="K16" s="225">
        <v>80252</v>
      </c>
      <c r="L16" s="226">
        <f t="shared" si="3"/>
        <v>84152</v>
      </c>
      <c r="M16" s="225">
        <v>2000</v>
      </c>
      <c r="N16" s="226">
        <f t="shared" si="4"/>
        <v>86152</v>
      </c>
      <c r="O16" s="225">
        <v>2000</v>
      </c>
      <c r="P16" s="226">
        <f t="shared" si="5"/>
        <v>88152</v>
      </c>
      <c r="Q16" s="225">
        <v>1926</v>
      </c>
      <c r="R16" s="226">
        <f t="shared" si="6"/>
        <v>90078</v>
      </c>
      <c r="S16" s="225">
        <v>1800</v>
      </c>
      <c r="T16" s="226">
        <f t="shared" si="7"/>
        <v>91878</v>
      </c>
      <c r="U16" s="225">
        <v>1800</v>
      </c>
      <c r="V16" s="226">
        <f t="shared" si="8"/>
        <v>93678</v>
      </c>
      <c r="W16" s="225">
        <v>1800</v>
      </c>
      <c r="X16" s="226">
        <f t="shared" si="9"/>
        <v>95478</v>
      </c>
      <c r="Y16" s="225">
        <v>1800</v>
      </c>
      <c r="Z16" s="226">
        <f t="shared" si="11"/>
        <v>97278</v>
      </c>
      <c r="AA16" s="225">
        <f t="shared" si="12"/>
        <v>97278</v>
      </c>
      <c r="AC16" s="457">
        <f>'1.'!B107</f>
        <v>97278100</v>
      </c>
      <c r="AD16" s="295">
        <v>97278</v>
      </c>
    </row>
    <row r="17" spans="1:31" x14ac:dyDescent="0.25">
      <c r="A17" s="223" t="s">
        <v>53</v>
      </c>
      <c r="B17" s="224" t="s">
        <v>650</v>
      </c>
      <c r="C17" s="225"/>
      <c r="D17" s="226">
        <f t="shared" si="10"/>
        <v>0</v>
      </c>
      <c r="E17" s="225"/>
      <c r="F17" s="226">
        <f t="shared" si="0"/>
        <v>0</v>
      </c>
      <c r="G17" s="225"/>
      <c r="H17" s="226">
        <f t="shared" si="1"/>
        <v>0</v>
      </c>
      <c r="I17" s="225"/>
      <c r="J17" s="226">
        <f t="shared" si="2"/>
        <v>0</v>
      </c>
      <c r="K17" s="225"/>
      <c r="L17" s="226">
        <f t="shared" si="3"/>
        <v>0</v>
      </c>
      <c r="M17" s="225"/>
      <c r="N17" s="226">
        <f t="shared" si="4"/>
        <v>0</v>
      </c>
      <c r="O17" s="225"/>
      <c r="P17" s="226">
        <f t="shared" si="5"/>
        <v>0</v>
      </c>
      <c r="Q17" s="225"/>
      <c r="R17" s="226">
        <f t="shared" si="6"/>
        <v>0</v>
      </c>
      <c r="S17" s="225"/>
      <c r="T17" s="226">
        <f t="shared" si="7"/>
        <v>0</v>
      </c>
      <c r="U17" s="225"/>
      <c r="V17" s="226">
        <f t="shared" si="8"/>
        <v>0</v>
      </c>
      <c r="W17" s="225"/>
      <c r="X17" s="226">
        <f t="shared" si="9"/>
        <v>0</v>
      </c>
      <c r="Y17" s="225"/>
      <c r="Z17" s="226">
        <f t="shared" si="11"/>
        <v>0</v>
      </c>
      <c r="AA17" s="225">
        <f t="shared" si="12"/>
        <v>0</v>
      </c>
      <c r="AC17" s="457"/>
      <c r="AD17" s="295"/>
    </row>
    <row r="18" spans="1:31" ht="24" x14ac:dyDescent="0.25">
      <c r="A18" s="223" t="s">
        <v>54</v>
      </c>
      <c r="B18" s="228" t="s">
        <v>403</v>
      </c>
      <c r="C18" s="225">
        <v>30</v>
      </c>
      <c r="D18" s="226">
        <f t="shared" si="10"/>
        <v>30</v>
      </c>
      <c r="E18" s="225">
        <v>20</v>
      </c>
      <c r="F18" s="225">
        <f t="shared" si="0"/>
        <v>50</v>
      </c>
      <c r="G18" s="225">
        <v>200</v>
      </c>
      <c r="H18" s="225">
        <f t="shared" si="1"/>
        <v>250</v>
      </c>
      <c r="I18" s="225">
        <v>40</v>
      </c>
      <c r="J18" s="225">
        <f t="shared" si="2"/>
        <v>290</v>
      </c>
      <c r="K18" s="225">
        <v>40</v>
      </c>
      <c r="L18" s="225">
        <f t="shared" si="3"/>
        <v>330</v>
      </c>
      <c r="M18" s="225">
        <v>40</v>
      </c>
      <c r="N18" s="225">
        <f t="shared" si="4"/>
        <v>370</v>
      </c>
      <c r="O18" s="225">
        <v>50</v>
      </c>
      <c r="P18" s="225">
        <f t="shared" si="5"/>
        <v>420</v>
      </c>
      <c r="Q18" s="225">
        <v>20</v>
      </c>
      <c r="R18" s="225">
        <f t="shared" si="6"/>
        <v>440</v>
      </c>
      <c r="S18" s="225">
        <v>40</v>
      </c>
      <c r="T18" s="225">
        <f t="shared" si="7"/>
        <v>480</v>
      </c>
      <c r="U18" s="225">
        <v>10</v>
      </c>
      <c r="V18" s="225">
        <f t="shared" si="8"/>
        <v>490</v>
      </c>
      <c r="W18" s="225">
        <v>10</v>
      </c>
      <c r="X18" s="225">
        <f t="shared" si="9"/>
        <v>500</v>
      </c>
      <c r="Y18" s="225"/>
      <c r="Z18" s="225">
        <f t="shared" si="11"/>
        <v>500</v>
      </c>
      <c r="AA18" s="225">
        <f>SUM(C18,E18,G18,I18,K18,M18,O18,Q18,S18,U18,W18,Y18)</f>
        <v>500</v>
      </c>
      <c r="AC18" s="457">
        <f>'1.'!B39</f>
        <v>500000</v>
      </c>
      <c r="AD18" s="295">
        <v>500</v>
      </c>
    </row>
    <row r="19" spans="1:31" ht="15.75" thickBot="1" x14ac:dyDescent="0.3">
      <c r="A19" s="229" t="s">
        <v>55</v>
      </c>
      <c r="B19" s="230" t="s">
        <v>88</v>
      </c>
      <c r="C19" s="231">
        <f>AD19/12</f>
        <v>0</v>
      </c>
      <c r="D19" s="231">
        <f t="shared" si="10"/>
        <v>0</v>
      </c>
      <c r="E19" s="231">
        <f>AD19/12</f>
        <v>0</v>
      </c>
      <c r="F19" s="231">
        <f t="shared" si="0"/>
        <v>0</v>
      </c>
      <c r="G19" s="231">
        <f>AD19/12</f>
        <v>0</v>
      </c>
      <c r="H19" s="231">
        <f t="shared" si="1"/>
        <v>0</v>
      </c>
      <c r="I19" s="231">
        <f>AD19/12</f>
        <v>0</v>
      </c>
      <c r="J19" s="231">
        <f t="shared" si="2"/>
        <v>0</v>
      </c>
      <c r="K19" s="231">
        <f>AD19/12</f>
        <v>0</v>
      </c>
      <c r="L19" s="231">
        <f t="shared" si="3"/>
        <v>0</v>
      </c>
      <c r="M19" s="231">
        <f>AD19/12</f>
        <v>0</v>
      </c>
      <c r="N19" s="231">
        <f t="shared" si="4"/>
        <v>0</v>
      </c>
      <c r="O19" s="231">
        <f>AD19/12</f>
        <v>0</v>
      </c>
      <c r="P19" s="231">
        <f t="shared" si="5"/>
        <v>0</v>
      </c>
      <c r="Q19" s="231">
        <f>AD19/12</f>
        <v>0</v>
      </c>
      <c r="R19" s="231">
        <f t="shared" si="6"/>
        <v>0</v>
      </c>
      <c r="S19" s="231">
        <f>AD19/12</f>
        <v>0</v>
      </c>
      <c r="T19" s="231">
        <f t="shared" si="7"/>
        <v>0</v>
      </c>
      <c r="U19" s="231">
        <f>AD19/12</f>
        <v>0</v>
      </c>
      <c r="V19" s="231">
        <f t="shared" si="8"/>
        <v>0</v>
      </c>
      <c r="W19" s="232">
        <f>AD19/12</f>
        <v>0</v>
      </c>
      <c r="X19" s="231">
        <f t="shared" si="9"/>
        <v>0</v>
      </c>
      <c r="Y19" s="232">
        <f>AD19/12</f>
        <v>0</v>
      </c>
      <c r="Z19" s="231">
        <f t="shared" si="11"/>
        <v>0</v>
      </c>
      <c r="AA19" s="231">
        <f t="shared" si="12"/>
        <v>0</v>
      </c>
      <c r="AC19" s="457"/>
      <c r="AD19" s="295"/>
    </row>
    <row r="20" spans="1:31" ht="15.75" thickTop="1" x14ac:dyDescent="0.25">
      <c r="A20" s="725" t="s">
        <v>404</v>
      </c>
      <c r="B20" s="736"/>
      <c r="C20" s="233">
        <f>SUM(C10:C19)</f>
        <v>21098.5</v>
      </c>
      <c r="D20" s="233">
        <f t="shared" ref="D20:Z20" si="13">SUM(D10:D19)</f>
        <v>21098.5</v>
      </c>
      <c r="E20" s="233">
        <f t="shared" si="13"/>
        <v>34711.800000000003</v>
      </c>
      <c r="F20" s="233">
        <f t="shared" si="13"/>
        <v>55810.3</v>
      </c>
      <c r="G20" s="233">
        <f t="shared" si="13"/>
        <v>30195.9</v>
      </c>
      <c r="H20" s="233">
        <f t="shared" si="13"/>
        <v>86006.2</v>
      </c>
      <c r="I20" s="233">
        <f t="shared" si="13"/>
        <v>28949.599999999999</v>
      </c>
      <c r="J20" s="233">
        <f t="shared" si="13"/>
        <v>114955.8</v>
      </c>
      <c r="K20" s="233">
        <f t="shared" si="13"/>
        <v>106001.60000000001</v>
      </c>
      <c r="L20" s="233">
        <f t="shared" si="13"/>
        <v>220957.4</v>
      </c>
      <c r="M20" s="233">
        <f t="shared" si="13"/>
        <v>24749.599999999999</v>
      </c>
      <c r="N20" s="233">
        <f t="shared" si="13"/>
        <v>245707</v>
      </c>
      <c r="O20" s="233">
        <f t="shared" si="13"/>
        <v>22759.599999999999</v>
      </c>
      <c r="P20" s="233">
        <f t="shared" si="13"/>
        <v>268466.59999999998</v>
      </c>
      <c r="Q20" s="233">
        <f t="shared" si="13"/>
        <v>22655.599999999999</v>
      </c>
      <c r="R20" s="233">
        <f t="shared" si="13"/>
        <v>291122.2</v>
      </c>
      <c r="S20" s="233">
        <f t="shared" si="13"/>
        <v>33349.599999999999</v>
      </c>
      <c r="T20" s="233">
        <f t="shared" si="13"/>
        <v>324471.8</v>
      </c>
      <c r="U20" s="233">
        <f t="shared" si="13"/>
        <v>30519.599999999999</v>
      </c>
      <c r="V20" s="233">
        <f t="shared" si="13"/>
        <v>354991.4</v>
      </c>
      <c r="W20" s="234">
        <f t="shared" si="13"/>
        <v>28461.599999999999</v>
      </c>
      <c r="X20" s="233">
        <f t="shared" si="13"/>
        <v>383453</v>
      </c>
      <c r="Y20" s="234">
        <f t="shared" si="13"/>
        <v>31150</v>
      </c>
      <c r="Z20" s="233">
        <f t="shared" si="13"/>
        <v>414603</v>
      </c>
      <c r="AA20" s="235">
        <f t="shared" si="12"/>
        <v>414602.99999999994</v>
      </c>
      <c r="AC20" s="457">
        <f>SUM(AC10:AC19)</f>
        <v>414603626.00999999</v>
      </c>
      <c r="AD20" s="295"/>
    </row>
    <row r="21" spans="1:31" x14ac:dyDescent="0.25">
      <c r="A21" s="223" t="s">
        <v>56</v>
      </c>
      <c r="B21" s="236" t="s">
        <v>319</v>
      </c>
      <c r="C21" s="225"/>
      <c r="D21" s="226">
        <f>SUM(B21:C21)</f>
        <v>0</v>
      </c>
      <c r="E21" s="237"/>
      <c r="F21" s="226">
        <f>SUM(D21:E21)</f>
        <v>0</v>
      </c>
      <c r="G21" s="225"/>
      <c r="H21" s="226">
        <f>SUM(F21:G21)</f>
        <v>0</v>
      </c>
      <c r="I21" s="225"/>
      <c r="J21" s="226">
        <f>SUM(H21:I21)</f>
        <v>0</v>
      </c>
      <c r="K21" s="225"/>
      <c r="L21" s="226">
        <f>SUM(J21:K21)</f>
        <v>0</v>
      </c>
      <c r="M21" s="225">
        <v>20000</v>
      </c>
      <c r="N21" s="226">
        <f>SUM(L21:M21)</f>
        <v>20000</v>
      </c>
      <c r="O21" s="225"/>
      <c r="P21" s="226">
        <f>SUM(N21:O21)</f>
        <v>20000</v>
      </c>
      <c r="Q21" s="225"/>
      <c r="R21" s="226">
        <f>SUM(P21:Q21)</f>
        <v>20000</v>
      </c>
      <c r="S21" s="225"/>
      <c r="T21" s="226">
        <f>SUM(R21:S21)</f>
        <v>20000</v>
      </c>
      <c r="U21" s="225"/>
      <c r="V21" s="226">
        <f>SUM(T21:U21)</f>
        <v>20000</v>
      </c>
      <c r="W21" s="225">
        <v>21122</v>
      </c>
      <c r="X21" s="226">
        <f>SUM(V21:W21)</f>
        <v>41122</v>
      </c>
      <c r="Y21" s="225"/>
      <c r="Z21" s="226">
        <f>SUM(X21:Y21)</f>
        <v>41122</v>
      </c>
      <c r="AA21" s="225">
        <f>SUM(C21,E21,G21,I21,K21,M21,O21,Q21,S21,U21,W21,Y21)</f>
        <v>41122</v>
      </c>
      <c r="AC21" s="457">
        <f>'1.'!B111</f>
        <v>41122000</v>
      </c>
      <c r="AD21" s="295">
        <v>41122</v>
      </c>
    </row>
    <row r="22" spans="1:31" ht="15.75" thickBot="1" x14ac:dyDescent="0.3">
      <c r="A22" s="229" t="s">
        <v>57</v>
      </c>
      <c r="B22" s="238" t="s">
        <v>416</v>
      </c>
      <c r="C22" s="231"/>
      <c r="D22" s="231"/>
      <c r="E22" s="239"/>
      <c r="F22" s="231">
        <f>SUM(D22:E22)</f>
        <v>0</v>
      </c>
      <c r="G22" s="231"/>
      <c r="H22" s="231">
        <f>SUM(F22:G22)</f>
        <v>0</v>
      </c>
      <c r="I22" s="231">
        <f>AD22</f>
        <v>23477</v>
      </c>
      <c r="J22" s="231">
        <f>SUM(H22:I22)</f>
        <v>23477</v>
      </c>
      <c r="K22" s="231"/>
      <c r="L22" s="231">
        <f>SUM(J22:K22)</f>
        <v>23477</v>
      </c>
      <c r="M22" s="231"/>
      <c r="N22" s="231">
        <f>SUM(L22:M22)</f>
        <v>23477</v>
      </c>
      <c r="O22" s="231"/>
      <c r="P22" s="231">
        <f>SUM(N22:O22)</f>
        <v>23477</v>
      </c>
      <c r="Q22" s="231"/>
      <c r="R22" s="231">
        <f>SUM(P22:Q22)</f>
        <v>23477</v>
      </c>
      <c r="S22" s="231"/>
      <c r="T22" s="231">
        <f>SUM(R22:S22)</f>
        <v>23477</v>
      </c>
      <c r="U22" s="231"/>
      <c r="V22" s="231">
        <f>SUM(T22:U22)</f>
        <v>23477</v>
      </c>
      <c r="W22" s="231"/>
      <c r="X22" s="231">
        <f>SUM(V22:W22)</f>
        <v>23477</v>
      </c>
      <c r="Y22" s="231"/>
      <c r="Z22" s="231">
        <f>SUM(X22:Y22)</f>
        <v>23477</v>
      </c>
      <c r="AA22" s="231">
        <f>SUM(C22,E22,G22,I22,K22,M22,O22,Q22,S22,U22,W22,Y22)</f>
        <v>23477</v>
      </c>
      <c r="AC22" s="457">
        <f>'1.'!B122</f>
        <v>23477000</v>
      </c>
      <c r="AD22" s="295">
        <v>23477</v>
      </c>
    </row>
    <row r="23" spans="1:31" ht="16.5" thickTop="1" thickBot="1" x14ac:dyDescent="0.3">
      <c r="A23" s="229" t="s">
        <v>58</v>
      </c>
      <c r="B23" s="238" t="s">
        <v>691</v>
      </c>
      <c r="C23" s="231"/>
      <c r="D23" s="231"/>
      <c r="E23" s="239"/>
      <c r="F23" s="231">
        <f>SUM(D23:E23)</f>
        <v>0</v>
      </c>
      <c r="G23" s="231"/>
      <c r="H23" s="231">
        <f>SUM(F23:G23)</f>
        <v>0</v>
      </c>
      <c r="I23" s="231">
        <f>AD23</f>
        <v>15713</v>
      </c>
      <c r="J23" s="231">
        <f>SUM(H23:I23)</f>
        <v>15713</v>
      </c>
      <c r="K23" s="231"/>
      <c r="L23" s="231">
        <f>SUM(J23:K23)</f>
        <v>15713</v>
      </c>
      <c r="M23" s="231"/>
      <c r="N23" s="231">
        <f>SUM(L23:M23)</f>
        <v>15713</v>
      </c>
      <c r="O23" s="231"/>
      <c r="P23" s="231">
        <f>SUM(N23:O23)</f>
        <v>15713</v>
      </c>
      <c r="Q23" s="231"/>
      <c r="R23" s="231">
        <f>SUM(P23:Q23)</f>
        <v>15713</v>
      </c>
      <c r="S23" s="231"/>
      <c r="T23" s="231">
        <f>SUM(R23:S23)</f>
        <v>15713</v>
      </c>
      <c r="U23" s="231"/>
      <c r="V23" s="231">
        <f>SUM(T23:U23)</f>
        <v>15713</v>
      </c>
      <c r="W23" s="231"/>
      <c r="X23" s="231">
        <f>SUM(V23:W23)</f>
        <v>15713</v>
      </c>
      <c r="Y23" s="231"/>
      <c r="Z23" s="231">
        <f>SUM(X23:Y23)</f>
        <v>15713</v>
      </c>
      <c r="AA23" s="231">
        <f>SUM(C23,E23,G23,I23,K23,M23,O23,Q23,S23,U23,W23,Y23)</f>
        <v>15713</v>
      </c>
      <c r="AC23" s="540">
        <f>'1.'!B133</f>
        <v>15713000</v>
      </c>
      <c r="AD23" s="295">
        <v>15713</v>
      </c>
    </row>
    <row r="24" spans="1:31" ht="16.5" thickTop="1" thickBot="1" x14ac:dyDescent="0.3">
      <c r="A24" s="737" t="s">
        <v>405</v>
      </c>
      <c r="B24" s="738"/>
      <c r="C24" s="240">
        <f>SUM(C23)</f>
        <v>0</v>
      </c>
      <c r="D24" s="240">
        <f>SUM(D23)</f>
        <v>0</v>
      </c>
      <c r="E24" s="241">
        <f t="shared" ref="E24:Z24" si="14">SUM(E21:E23)</f>
        <v>0</v>
      </c>
      <c r="F24" s="240">
        <f t="shared" si="14"/>
        <v>0</v>
      </c>
      <c r="G24" s="240">
        <f t="shared" si="14"/>
        <v>0</v>
      </c>
      <c r="H24" s="240">
        <f t="shared" si="14"/>
        <v>0</v>
      </c>
      <c r="I24" s="240">
        <f t="shared" si="14"/>
        <v>39190</v>
      </c>
      <c r="J24" s="240">
        <f t="shared" si="14"/>
        <v>39190</v>
      </c>
      <c r="K24" s="240">
        <f t="shared" si="14"/>
        <v>0</v>
      </c>
      <c r="L24" s="240">
        <f t="shared" si="14"/>
        <v>39190</v>
      </c>
      <c r="M24" s="240">
        <f t="shared" si="14"/>
        <v>20000</v>
      </c>
      <c r="N24" s="240">
        <f t="shared" si="14"/>
        <v>59190</v>
      </c>
      <c r="O24" s="240">
        <f t="shared" si="14"/>
        <v>0</v>
      </c>
      <c r="P24" s="240">
        <f t="shared" si="14"/>
        <v>59190</v>
      </c>
      <c r="Q24" s="240">
        <f t="shared" si="14"/>
        <v>0</v>
      </c>
      <c r="R24" s="240">
        <f t="shared" si="14"/>
        <v>59190</v>
      </c>
      <c r="S24" s="240">
        <f t="shared" si="14"/>
        <v>0</v>
      </c>
      <c r="T24" s="240">
        <f t="shared" si="14"/>
        <v>59190</v>
      </c>
      <c r="U24" s="240">
        <f t="shared" si="14"/>
        <v>0</v>
      </c>
      <c r="V24" s="240">
        <f t="shared" si="14"/>
        <v>59190</v>
      </c>
      <c r="W24" s="240">
        <f t="shared" si="14"/>
        <v>21122</v>
      </c>
      <c r="X24" s="240">
        <f t="shared" si="14"/>
        <v>80312</v>
      </c>
      <c r="Y24" s="240">
        <f t="shared" si="14"/>
        <v>0</v>
      </c>
      <c r="Z24" s="240">
        <f t="shared" si="14"/>
        <v>80312</v>
      </c>
      <c r="AA24" s="242">
        <f>SUM(C24,E24,G24,I24,K24,M24,O24,Q24,S24,U24,W24,Y24)</f>
        <v>80312</v>
      </c>
      <c r="AC24" s="457"/>
      <c r="AD24" s="295"/>
    </row>
    <row r="25" spans="1:31" ht="15.75" thickBot="1" x14ac:dyDescent="0.3">
      <c r="A25" s="719" t="s">
        <v>43</v>
      </c>
      <c r="B25" s="720"/>
      <c r="C25" s="243">
        <f t="shared" ref="C25:Y25" si="15">SUM(C20:C23)</f>
        <v>21098.5</v>
      </c>
      <c r="D25" s="243">
        <f t="shared" si="15"/>
        <v>21098.5</v>
      </c>
      <c r="E25" s="244">
        <f t="shared" si="15"/>
        <v>34711.800000000003</v>
      </c>
      <c r="F25" s="243">
        <f t="shared" si="15"/>
        <v>55810.3</v>
      </c>
      <c r="G25" s="243">
        <f t="shared" si="15"/>
        <v>30195.9</v>
      </c>
      <c r="H25" s="243">
        <f t="shared" si="15"/>
        <v>86006.2</v>
      </c>
      <c r="I25" s="243">
        <f t="shared" si="15"/>
        <v>68139.600000000006</v>
      </c>
      <c r="J25" s="243">
        <f t="shared" si="15"/>
        <v>154145.79999999999</v>
      </c>
      <c r="K25" s="243">
        <f t="shared" si="15"/>
        <v>106001.60000000001</v>
      </c>
      <c r="L25" s="243">
        <f t="shared" si="15"/>
        <v>260147.4</v>
      </c>
      <c r="M25" s="243">
        <f t="shared" si="15"/>
        <v>44749.599999999999</v>
      </c>
      <c r="N25" s="243">
        <f t="shared" si="15"/>
        <v>304897</v>
      </c>
      <c r="O25" s="243">
        <f t="shared" si="15"/>
        <v>22759.599999999999</v>
      </c>
      <c r="P25" s="243">
        <f t="shared" si="15"/>
        <v>327656.59999999998</v>
      </c>
      <c r="Q25" s="243">
        <f t="shared" si="15"/>
        <v>22655.599999999999</v>
      </c>
      <c r="R25" s="243">
        <f t="shared" si="15"/>
        <v>350312.2</v>
      </c>
      <c r="S25" s="243">
        <f t="shared" si="15"/>
        <v>33349.599999999999</v>
      </c>
      <c r="T25" s="243">
        <f t="shared" si="15"/>
        <v>383661.8</v>
      </c>
      <c r="U25" s="243">
        <f t="shared" si="15"/>
        <v>30519.599999999999</v>
      </c>
      <c r="V25" s="243">
        <f t="shared" si="15"/>
        <v>414181.4</v>
      </c>
      <c r="W25" s="243">
        <f t="shared" si="15"/>
        <v>49583.6</v>
      </c>
      <c r="X25" s="243">
        <f t="shared" si="15"/>
        <v>463765</v>
      </c>
      <c r="Y25" s="243">
        <f t="shared" si="15"/>
        <v>31150</v>
      </c>
      <c r="Z25" s="243">
        <f>SUM(Z20:Z23)</f>
        <v>494915</v>
      </c>
      <c r="AA25" s="245">
        <f>SUM(C25,E25,G25,I25,K25,M25,O25,Q25,S25,U25,W25,Y25)+1</f>
        <v>494915.99999999988</v>
      </c>
      <c r="AC25" s="457">
        <f>SUM(AC10:AC19,AC21:AC23)</f>
        <v>494915626.00999999</v>
      </c>
      <c r="AD25" s="295">
        <f>SUM(AD10:AD24)</f>
        <v>494915</v>
      </c>
      <c r="AE25" s="431" t="s">
        <v>784</v>
      </c>
    </row>
    <row r="26" spans="1:3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187"/>
      <c r="Z26" s="187"/>
      <c r="AA26" s="246"/>
    </row>
    <row r="27" spans="1:31" ht="15.75" x14ac:dyDescent="0.25">
      <c r="A27" s="220" t="s">
        <v>406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187"/>
      <c r="Z27" s="727" t="s">
        <v>37</v>
      </c>
      <c r="AA27" s="728"/>
    </row>
    <row r="28" spans="1:31" x14ac:dyDescent="0.25">
      <c r="A28" s="729" t="s">
        <v>384</v>
      </c>
      <c r="B28" s="730"/>
      <c r="C28" s="731" t="s">
        <v>385</v>
      </c>
      <c r="D28" s="732"/>
      <c r="E28" s="731" t="s">
        <v>386</v>
      </c>
      <c r="F28" s="732"/>
      <c r="G28" s="731" t="s">
        <v>387</v>
      </c>
      <c r="H28" s="732"/>
      <c r="I28" s="731" t="s">
        <v>388</v>
      </c>
      <c r="J28" s="732"/>
      <c r="K28" s="731" t="s">
        <v>389</v>
      </c>
      <c r="L28" s="732"/>
      <c r="M28" s="731" t="s">
        <v>390</v>
      </c>
      <c r="N28" s="732"/>
      <c r="O28" s="731" t="s">
        <v>391</v>
      </c>
      <c r="P28" s="732"/>
      <c r="Q28" s="731" t="s">
        <v>392</v>
      </c>
      <c r="R28" s="732"/>
      <c r="S28" s="731" t="s">
        <v>393</v>
      </c>
      <c r="T28" s="732"/>
      <c r="U28" s="731" t="s">
        <v>394</v>
      </c>
      <c r="V28" s="732"/>
      <c r="W28" s="731" t="s">
        <v>395</v>
      </c>
      <c r="X28" s="732"/>
      <c r="Y28" s="731" t="s">
        <v>396</v>
      </c>
      <c r="Z28" s="732"/>
      <c r="AA28" s="718" t="s">
        <v>252</v>
      </c>
      <c r="AC28" s="483" t="s">
        <v>652</v>
      </c>
    </row>
    <row r="29" spans="1:31" x14ac:dyDescent="0.25">
      <c r="A29" s="721"/>
      <c r="B29" s="722"/>
      <c r="C29" s="223" t="s">
        <v>397</v>
      </c>
      <c r="D29" s="223" t="s">
        <v>398</v>
      </c>
      <c r="E29" s="223" t="s">
        <v>397</v>
      </c>
      <c r="F29" s="223" t="s">
        <v>398</v>
      </c>
      <c r="G29" s="223" t="s">
        <v>397</v>
      </c>
      <c r="H29" s="223" t="s">
        <v>398</v>
      </c>
      <c r="I29" s="223" t="s">
        <v>397</v>
      </c>
      <c r="J29" s="223" t="s">
        <v>398</v>
      </c>
      <c r="K29" s="223" t="s">
        <v>397</v>
      </c>
      <c r="L29" s="223" t="s">
        <v>398</v>
      </c>
      <c r="M29" s="223" t="s">
        <v>397</v>
      </c>
      <c r="N29" s="223" t="s">
        <v>398</v>
      </c>
      <c r="O29" s="223" t="s">
        <v>397</v>
      </c>
      <c r="P29" s="223" t="s">
        <v>398</v>
      </c>
      <c r="Q29" s="223" t="s">
        <v>397</v>
      </c>
      <c r="R29" s="223" t="s">
        <v>398</v>
      </c>
      <c r="S29" s="223" t="s">
        <v>397</v>
      </c>
      <c r="T29" s="223" t="s">
        <v>398</v>
      </c>
      <c r="U29" s="223" t="s">
        <v>397</v>
      </c>
      <c r="V29" s="223" t="s">
        <v>398</v>
      </c>
      <c r="W29" s="223" t="s">
        <v>397</v>
      </c>
      <c r="X29" s="223" t="s">
        <v>398</v>
      </c>
      <c r="Y29" s="223" t="s">
        <v>397</v>
      </c>
      <c r="Z29" s="223" t="s">
        <v>398</v>
      </c>
      <c r="AA29" s="733"/>
      <c r="AC29" s="483" t="s">
        <v>654</v>
      </c>
    </row>
    <row r="30" spans="1:31" x14ac:dyDescent="0.25">
      <c r="A30" s="223" t="s">
        <v>46</v>
      </c>
      <c r="B30" s="224" t="s">
        <v>407</v>
      </c>
      <c r="C30" s="225">
        <f>(AD30/12)</f>
        <v>8343.75</v>
      </c>
      <c r="D30" s="247">
        <f>SUM(C30)</f>
        <v>8343.75</v>
      </c>
      <c r="E30" s="225">
        <f>(AD30/12)</f>
        <v>8343.75</v>
      </c>
      <c r="F30" s="247">
        <f t="shared" ref="F30:F36" si="16">SUM(D30:E30)</f>
        <v>16687.5</v>
      </c>
      <c r="G30" s="225">
        <f>(AD30/12)</f>
        <v>8343.75</v>
      </c>
      <c r="H30" s="247">
        <f t="shared" ref="H30:H36" si="17">SUM(F30:G30)</f>
        <v>25031.25</v>
      </c>
      <c r="I30" s="225">
        <f>(AD30/12)</f>
        <v>8343.75</v>
      </c>
      <c r="J30" s="247">
        <f t="shared" ref="J30:J36" si="18">SUM(H30:I30)</f>
        <v>33375</v>
      </c>
      <c r="K30" s="225">
        <f>(AD30/12)</f>
        <v>8343.75</v>
      </c>
      <c r="L30" s="247">
        <f t="shared" ref="L30:L36" si="19">SUM(J30:K30)</f>
        <v>41718.75</v>
      </c>
      <c r="M30" s="225">
        <f>(AD30/12)</f>
        <v>8343.75</v>
      </c>
      <c r="N30" s="247">
        <f t="shared" ref="N30:N36" si="20">SUM(L30:M30)</f>
        <v>50062.5</v>
      </c>
      <c r="O30" s="225">
        <f>(AD30/12)</f>
        <v>8343.75</v>
      </c>
      <c r="P30" s="247">
        <f t="shared" ref="P30:P36" si="21">SUM(N30:O30)</f>
        <v>58406.25</v>
      </c>
      <c r="Q30" s="225">
        <f>(AD30/12)</f>
        <v>8343.75</v>
      </c>
      <c r="R30" s="247">
        <f t="shared" ref="R30:R36" si="22">SUM(P30:Q30)</f>
        <v>66750</v>
      </c>
      <c r="S30" s="225">
        <f>(AD30/12)</f>
        <v>8343.75</v>
      </c>
      <c r="T30" s="247">
        <f t="shared" ref="T30:T36" si="23">SUM(R30:S30)</f>
        <v>75093.75</v>
      </c>
      <c r="U30" s="225">
        <f>(AD30/12)</f>
        <v>8343.75</v>
      </c>
      <c r="V30" s="247">
        <f>SUM(T30:U30)</f>
        <v>83437.5</v>
      </c>
      <c r="W30" s="225">
        <f>(AD30/12)</f>
        <v>8343.75</v>
      </c>
      <c r="X30" s="247">
        <f>SUM(V30:W30)</f>
        <v>91781.25</v>
      </c>
      <c r="Y30" s="225">
        <f>(AD30/12)</f>
        <v>8343.75</v>
      </c>
      <c r="Z30" s="247">
        <f>SUM(X30:Y30)</f>
        <v>100125</v>
      </c>
      <c r="AA30" s="225">
        <f>SUM(C30,E30,G30,I30,K30,M30,O30,Q30,S30,U30,W30,Y30)</f>
        <v>100125</v>
      </c>
      <c r="AC30" s="457">
        <f>'3.'!D8</f>
        <v>100125000</v>
      </c>
      <c r="AD30">
        <v>100125</v>
      </c>
    </row>
    <row r="31" spans="1:31" x14ac:dyDescent="0.25">
      <c r="A31" s="223" t="s">
        <v>47</v>
      </c>
      <c r="B31" s="224" t="s">
        <v>408</v>
      </c>
      <c r="C31" s="225">
        <f t="shared" ref="C31:C36" si="24">(AD31/12)</f>
        <v>2213.5</v>
      </c>
      <c r="D31" s="247">
        <f t="shared" ref="D31:D39" si="25">SUM(C31)</f>
        <v>2213.5</v>
      </c>
      <c r="E31" s="225">
        <f t="shared" ref="E31:E36" si="26">(AD31/12)</f>
        <v>2213.5</v>
      </c>
      <c r="F31" s="247">
        <f t="shared" si="16"/>
        <v>4427</v>
      </c>
      <c r="G31" s="225">
        <f t="shared" ref="G31:G36" si="27">(AD31/12)</f>
        <v>2213.5</v>
      </c>
      <c r="H31" s="247">
        <f t="shared" si="17"/>
        <v>6640.5</v>
      </c>
      <c r="I31" s="225">
        <f t="shared" ref="I31:I36" si="28">(AD31/12)</f>
        <v>2213.5</v>
      </c>
      <c r="J31" s="247">
        <f t="shared" si="18"/>
        <v>8854</v>
      </c>
      <c r="K31" s="225">
        <f t="shared" ref="K31:K36" si="29">(AD31/12)</f>
        <v>2213.5</v>
      </c>
      <c r="L31" s="247">
        <f t="shared" si="19"/>
        <v>11067.5</v>
      </c>
      <c r="M31" s="225">
        <f t="shared" ref="M31:M36" si="30">(AD31/12)</f>
        <v>2213.5</v>
      </c>
      <c r="N31" s="247">
        <f t="shared" si="20"/>
        <v>13281</v>
      </c>
      <c r="O31" s="225">
        <f t="shared" ref="O31:O36" si="31">(AD31/12)</f>
        <v>2213.5</v>
      </c>
      <c r="P31" s="247">
        <f t="shared" si="21"/>
        <v>15494.5</v>
      </c>
      <c r="Q31" s="225">
        <f t="shared" ref="Q31:Q36" si="32">(AD31/12)</f>
        <v>2213.5</v>
      </c>
      <c r="R31" s="247">
        <f t="shared" si="22"/>
        <v>17708</v>
      </c>
      <c r="S31" s="225">
        <f t="shared" ref="S31:S36" si="33">(AD31/12)</f>
        <v>2213.5</v>
      </c>
      <c r="T31" s="247">
        <f t="shared" si="23"/>
        <v>19921.5</v>
      </c>
      <c r="U31" s="225">
        <f t="shared" ref="U31:U36" si="34">(AD31/12)</f>
        <v>2213.5</v>
      </c>
      <c r="V31" s="247">
        <f t="shared" ref="V31:Z36" si="35">SUM(T31:U31)</f>
        <v>22135</v>
      </c>
      <c r="W31" s="225">
        <f t="shared" ref="W31:W36" si="36">(AD31/12)</f>
        <v>2213.5</v>
      </c>
      <c r="X31" s="247">
        <f t="shared" si="35"/>
        <v>24348.5</v>
      </c>
      <c r="Y31" s="225">
        <f t="shared" ref="Y31:Y36" si="37">(AD31/12)</f>
        <v>2213.5</v>
      </c>
      <c r="Z31" s="247">
        <f t="shared" si="35"/>
        <v>26562</v>
      </c>
      <c r="AA31" s="225">
        <f t="shared" ref="AA31:AA43" si="38">SUM(C31,E31,G31,I31,K31,M31,O31,Q31,S31,U31,W31,Y31)</f>
        <v>26562</v>
      </c>
      <c r="AC31" s="457">
        <f>'3.'!D9</f>
        <v>26562000</v>
      </c>
      <c r="AD31">
        <v>26562</v>
      </c>
    </row>
    <row r="32" spans="1:31" x14ac:dyDescent="0.25">
      <c r="A32" s="223" t="s">
        <v>48</v>
      </c>
      <c r="B32" s="224" t="s">
        <v>409</v>
      </c>
      <c r="C32" s="225">
        <f t="shared" si="24"/>
        <v>18721.333333333332</v>
      </c>
      <c r="D32" s="247">
        <f t="shared" si="25"/>
        <v>18721.333333333332</v>
      </c>
      <c r="E32" s="225">
        <f t="shared" si="26"/>
        <v>18721.333333333332</v>
      </c>
      <c r="F32" s="247">
        <f t="shared" si="16"/>
        <v>37442.666666666664</v>
      </c>
      <c r="G32" s="225">
        <f t="shared" si="27"/>
        <v>18721.333333333332</v>
      </c>
      <c r="H32" s="247">
        <f t="shared" si="17"/>
        <v>56164</v>
      </c>
      <c r="I32" s="225">
        <f t="shared" si="28"/>
        <v>18721.333333333332</v>
      </c>
      <c r="J32" s="247">
        <f t="shared" si="18"/>
        <v>74885.333333333328</v>
      </c>
      <c r="K32" s="225">
        <f t="shared" si="29"/>
        <v>18721.333333333332</v>
      </c>
      <c r="L32" s="247">
        <f t="shared" si="19"/>
        <v>93606.666666666657</v>
      </c>
      <c r="M32" s="225">
        <f t="shared" si="30"/>
        <v>18721.333333333332</v>
      </c>
      <c r="N32" s="247">
        <f t="shared" si="20"/>
        <v>112327.99999999999</v>
      </c>
      <c r="O32" s="225">
        <f t="shared" si="31"/>
        <v>18721.333333333332</v>
      </c>
      <c r="P32" s="247">
        <f t="shared" si="21"/>
        <v>131049.33333333331</v>
      </c>
      <c r="Q32" s="225">
        <f t="shared" si="32"/>
        <v>18721.333333333332</v>
      </c>
      <c r="R32" s="247">
        <f t="shared" si="22"/>
        <v>149770.66666666666</v>
      </c>
      <c r="S32" s="225">
        <f t="shared" si="33"/>
        <v>18721.333333333332</v>
      </c>
      <c r="T32" s="247">
        <f t="shared" si="23"/>
        <v>168492</v>
      </c>
      <c r="U32" s="225">
        <f t="shared" si="34"/>
        <v>18721.333333333332</v>
      </c>
      <c r="V32" s="247">
        <f t="shared" si="35"/>
        <v>187213.33333333334</v>
      </c>
      <c r="W32" s="225">
        <f t="shared" si="36"/>
        <v>18721.333333333332</v>
      </c>
      <c r="X32" s="247">
        <f t="shared" si="35"/>
        <v>205934.66666666669</v>
      </c>
      <c r="Y32" s="225">
        <f t="shared" si="37"/>
        <v>18721.333333333332</v>
      </c>
      <c r="Z32" s="247">
        <f t="shared" si="35"/>
        <v>224656.00000000003</v>
      </c>
      <c r="AA32" s="225">
        <f t="shared" si="38"/>
        <v>224656.00000000003</v>
      </c>
      <c r="AC32" s="457">
        <f>'3.'!D10</f>
        <v>224655617.00999999</v>
      </c>
      <c r="AD32">
        <v>224656</v>
      </c>
    </row>
    <row r="33" spans="1:31" x14ac:dyDescent="0.25">
      <c r="A33" s="223" t="s">
        <v>49</v>
      </c>
      <c r="B33" s="224" t="s">
        <v>332</v>
      </c>
      <c r="C33" s="225">
        <f t="shared" si="24"/>
        <v>2871</v>
      </c>
      <c r="D33" s="247">
        <f t="shared" si="25"/>
        <v>2871</v>
      </c>
      <c r="E33" s="225">
        <f t="shared" si="26"/>
        <v>2871</v>
      </c>
      <c r="F33" s="247">
        <f t="shared" si="16"/>
        <v>5742</v>
      </c>
      <c r="G33" s="225">
        <f t="shared" si="27"/>
        <v>2871</v>
      </c>
      <c r="H33" s="247">
        <f t="shared" si="17"/>
        <v>8613</v>
      </c>
      <c r="I33" s="225">
        <f t="shared" si="28"/>
        <v>2871</v>
      </c>
      <c r="J33" s="247">
        <f t="shared" si="18"/>
        <v>11484</v>
      </c>
      <c r="K33" s="225">
        <f t="shared" si="29"/>
        <v>2871</v>
      </c>
      <c r="L33" s="247">
        <f t="shared" si="19"/>
        <v>14355</v>
      </c>
      <c r="M33" s="225">
        <f t="shared" si="30"/>
        <v>2871</v>
      </c>
      <c r="N33" s="247">
        <f t="shared" si="20"/>
        <v>17226</v>
      </c>
      <c r="O33" s="225">
        <f t="shared" si="31"/>
        <v>2871</v>
      </c>
      <c r="P33" s="247">
        <f t="shared" si="21"/>
        <v>20097</v>
      </c>
      <c r="Q33" s="225">
        <f t="shared" si="32"/>
        <v>2871</v>
      </c>
      <c r="R33" s="247">
        <f t="shared" si="22"/>
        <v>22968</v>
      </c>
      <c r="S33" s="225">
        <f t="shared" si="33"/>
        <v>2871</v>
      </c>
      <c r="T33" s="247">
        <f t="shared" si="23"/>
        <v>25839</v>
      </c>
      <c r="U33" s="225">
        <f t="shared" si="34"/>
        <v>2871</v>
      </c>
      <c r="V33" s="247">
        <f t="shared" si="35"/>
        <v>28710</v>
      </c>
      <c r="W33" s="225">
        <f t="shared" si="36"/>
        <v>2871</v>
      </c>
      <c r="X33" s="247">
        <f t="shared" si="35"/>
        <v>31581</v>
      </c>
      <c r="Y33" s="225">
        <f t="shared" si="37"/>
        <v>2871</v>
      </c>
      <c r="Z33" s="247">
        <f t="shared" si="35"/>
        <v>34452</v>
      </c>
      <c r="AA33" s="225">
        <f t="shared" si="38"/>
        <v>34452</v>
      </c>
      <c r="AC33" s="457">
        <f>'3.'!D11</f>
        <v>34451722</v>
      </c>
      <c r="AD33">
        <v>34452</v>
      </c>
    </row>
    <row r="34" spans="1:31" x14ac:dyDescent="0.25">
      <c r="A34" s="223" t="s">
        <v>50</v>
      </c>
      <c r="B34" s="224" t="s">
        <v>333</v>
      </c>
      <c r="C34" s="225">
        <f t="shared" si="24"/>
        <v>3242.6666666666665</v>
      </c>
      <c r="D34" s="247">
        <f t="shared" si="25"/>
        <v>3242.6666666666665</v>
      </c>
      <c r="E34" s="225">
        <f t="shared" si="26"/>
        <v>3242.6666666666665</v>
      </c>
      <c r="F34" s="247">
        <f t="shared" si="16"/>
        <v>6485.333333333333</v>
      </c>
      <c r="G34" s="225">
        <f t="shared" si="27"/>
        <v>3242.6666666666665</v>
      </c>
      <c r="H34" s="247">
        <f t="shared" si="17"/>
        <v>9728</v>
      </c>
      <c r="I34" s="225">
        <f t="shared" si="28"/>
        <v>3242.6666666666665</v>
      </c>
      <c r="J34" s="247">
        <f t="shared" si="18"/>
        <v>12970.666666666666</v>
      </c>
      <c r="K34" s="225">
        <f t="shared" si="29"/>
        <v>3242.6666666666665</v>
      </c>
      <c r="L34" s="247">
        <f t="shared" si="19"/>
        <v>16213.333333333332</v>
      </c>
      <c r="M34" s="225">
        <f t="shared" si="30"/>
        <v>3242.6666666666665</v>
      </c>
      <c r="N34" s="247">
        <f t="shared" si="20"/>
        <v>19456</v>
      </c>
      <c r="O34" s="225">
        <f t="shared" si="31"/>
        <v>3242.6666666666665</v>
      </c>
      <c r="P34" s="247">
        <f t="shared" si="21"/>
        <v>22698.666666666668</v>
      </c>
      <c r="Q34" s="225">
        <f t="shared" si="32"/>
        <v>3242.6666666666665</v>
      </c>
      <c r="R34" s="247">
        <f t="shared" si="22"/>
        <v>25941.333333333336</v>
      </c>
      <c r="S34" s="225">
        <f t="shared" si="33"/>
        <v>3242.6666666666665</v>
      </c>
      <c r="T34" s="247">
        <f t="shared" si="23"/>
        <v>29184.000000000004</v>
      </c>
      <c r="U34" s="225">
        <f t="shared" si="34"/>
        <v>3242.6666666666665</v>
      </c>
      <c r="V34" s="247">
        <f>SUM(T34:U34)</f>
        <v>32426.666666666672</v>
      </c>
      <c r="W34" s="225">
        <f t="shared" si="36"/>
        <v>3242.6666666666665</v>
      </c>
      <c r="X34" s="247">
        <f>SUM(V34:W34)</f>
        <v>35669.333333333336</v>
      </c>
      <c r="Y34" s="225">
        <f t="shared" si="37"/>
        <v>3242.6666666666665</v>
      </c>
      <c r="Z34" s="247">
        <f>SUM(X34:Y34)</f>
        <v>38912</v>
      </c>
      <c r="AA34" s="225">
        <f>SUM(C34,E34,G34,I34,K34,M34,O34,Q34,S34,U34,W34,Y34)</f>
        <v>38912</v>
      </c>
      <c r="AC34" s="457">
        <f>'3.'!D12</f>
        <v>38912000</v>
      </c>
      <c r="AD34">
        <v>38912</v>
      </c>
    </row>
    <row r="35" spans="1:31" x14ac:dyDescent="0.25">
      <c r="A35" s="223" t="s">
        <v>51</v>
      </c>
      <c r="B35" s="224" t="s">
        <v>410</v>
      </c>
      <c r="C35" s="225">
        <f t="shared" si="24"/>
        <v>0</v>
      </c>
      <c r="D35" s="247">
        <f t="shared" si="25"/>
        <v>0</v>
      </c>
      <c r="E35" s="225">
        <f t="shared" si="26"/>
        <v>0</v>
      </c>
      <c r="F35" s="247">
        <f t="shared" si="16"/>
        <v>0</v>
      </c>
      <c r="G35" s="225">
        <f t="shared" si="27"/>
        <v>0</v>
      </c>
      <c r="H35" s="247">
        <f t="shared" si="17"/>
        <v>0</v>
      </c>
      <c r="I35" s="225">
        <f t="shared" si="28"/>
        <v>0</v>
      </c>
      <c r="J35" s="247">
        <f t="shared" si="18"/>
        <v>0</v>
      </c>
      <c r="K35" s="225">
        <f t="shared" si="29"/>
        <v>0</v>
      </c>
      <c r="L35" s="247">
        <f t="shared" si="19"/>
        <v>0</v>
      </c>
      <c r="M35" s="225">
        <f t="shared" si="30"/>
        <v>0</v>
      </c>
      <c r="N35" s="247">
        <f t="shared" si="20"/>
        <v>0</v>
      </c>
      <c r="O35" s="225">
        <f t="shared" si="31"/>
        <v>0</v>
      </c>
      <c r="P35" s="247">
        <f t="shared" si="21"/>
        <v>0</v>
      </c>
      <c r="Q35" s="225">
        <f t="shared" si="32"/>
        <v>0</v>
      </c>
      <c r="R35" s="247">
        <f t="shared" si="22"/>
        <v>0</v>
      </c>
      <c r="S35" s="225">
        <f t="shared" si="33"/>
        <v>0</v>
      </c>
      <c r="T35" s="247">
        <f t="shared" si="23"/>
        <v>0</v>
      </c>
      <c r="U35" s="225">
        <f t="shared" si="34"/>
        <v>0</v>
      </c>
      <c r="V35" s="247">
        <f t="shared" si="35"/>
        <v>0</v>
      </c>
      <c r="W35" s="225">
        <f t="shared" si="36"/>
        <v>0</v>
      </c>
      <c r="X35" s="247">
        <f t="shared" si="35"/>
        <v>0</v>
      </c>
      <c r="Y35" s="225">
        <f t="shared" si="37"/>
        <v>0</v>
      </c>
      <c r="Z35" s="247">
        <f t="shared" si="35"/>
        <v>0</v>
      </c>
      <c r="AA35" s="225">
        <f t="shared" si="38"/>
        <v>0</v>
      </c>
      <c r="AC35" s="457">
        <f>'3.'!D13</f>
        <v>0</v>
      </c>
    </row>
    <row r="36" spans="1:31" ht="15.75" thickBot="1" x14ac:dyDescent="0.3">
      <c r="A36" s="229" t="s">
        <v>52</v>
      </c>
      <c r="B36" s="230" t="s">
        <v>411</v>
      </c>
      <c r="C36" s="231">
        <f t="shared" si="24"/>
        <v>0</v>
      </c>
      <c r="D36" s="248">
        <f t="shared" si="25"/>
        <v>0</v>
      </c>
      <c r="E36" s="231">
        <f t="shared" si="26"/>
        <v>0</v>
      </c>
      <c r="F36" s="248">
        <f t="shared" si="16"/>
        <v>0</v>
      </c>
      <c r="G36" s="231">
        <f t="shared" si="27"/>
        <v>0</v>
      </c>
      <c r="H36" s="248">
        <f t="shared" si="17"/>
        <v>0</v>
      </c>
      <c r="I36" s="231">
        <f t="shared" si="28"/>
        <v>0</v>
      </c>
      <c r="J36" s="248">
        <f t="shared" si="18"/>
        <v>0</v>
      </c>
      <c r="K36" s="231">
        <f t="shared" si="29"/>
        <v>0</v>
      </c>
      <c r="L36" s="248">
        <f t="shared" si="19"/>
        <v>0</v>
      </c>
      <c r="M36" s="231">
        <f t="shared" si="30"/>
        <v>0</v>
      </c>
      <c r="N36" s="248">
        <f t="shared" si="20"/>
        <v>0</v>
      </c>
      <c r="O36" s="231">
        <f t="shared" si="31"/>
        <v>0</v>
      </c>
      <c r="P36" s="248">
        <f t="shared" si="21"/>
        <v>0</v>
      </c>
      <c r="Q36" s="231">
        <f t="shared" si="32"/>
        <v>0</v>
      </c>
      <c r="R36" s="248">
        <f t="shared" si="22"/>
        <v>0</v>
      </c>
      <c r="S36" s="231">
        <f t="shared" si="33"/>
        <v>0</v>
      </c>
      <c r="T36" s="248">
        <f t="shared" si="23"/>
        <v>0</v>
      </c>
      <c r="U36" s="231">
        <f t="shared" si="34"/>
        <v>0</v>
      </c>
      <c r="V36" s="248">
        <f t="shared" si="35"/>
        <v>0</v>
      </c>
      <c r="W36" s="231">
        <f t="shared" si="36"/>
        <v>0</v>
      </c>
      <c r="X36" s="248">
        <f t="shared" si="35"/>
        <v>0</v>
      </c>
      <c r="Y36" s="231">
        <f t="shared" si="37"/>
        <v>0</v>
      </c>
      <c r="Z36" s="248">
        <f t="shared" si="35"/>
        <v>0</v>
      </c>
      <c r="AA36" s="231">
        <f t="shared" si="38"/>
        <v>0</v>
      </c>
      <c r="AC36" s="457"/>
    </row>
    <row r="37" spans="1:31" ht="15.75" thickTop="1" x14ac:dyDescent="0.25">
      <c r="A37" s="725" t="s">
        <v>412</v>
      </c>
      <c r="B37" s="726"/>
      <c r="C37" s="233">
        <f t="shared" ref="C37:Z37" si="39">SUM(C30:C36)</f>
        <v>35392.25</v>
      </c>
      <c r="D37" s="233">
        <f t="shared" si="39"/>
        <v>35392.25</v>
      </c>
      <c r="E37" s="233">
        <f t="shared" si="39"/>
        <v>35392.25</v>
      </c>
      <c r="F37" s="233">
        <f t="shared" si="39"/>
        <v>70784.5</v>
      </c>
      <c r="G37" s="233">
        <f t="shared" si="39"/>
        <v>35392.25</v>
      </c>
      <c r="H37" s="233">
        <f t="shared" si="39"/>
        <v>106176.75</v>
      </c>
      <c r="I37" s="233">
        <f t="shared" si="39"/>
        <v>35392.25</v>
      </c>
      <c r="J37" s="233">
        <f t="shared" si="39"/>
        <v>141569</v>
      </c>
      <c r="K37" s="233">
        <f t="shared" si="39"/>
        <v>35392.25</v>
      </c>
      <c r="L37" s="233">
        <f t="shared" si="39"/>
        <v>176961.25</v>
      </c>
      <c r="M37" s="233">
        <f t="shared" si="39"/>
        <v>35392.25</v>
      </c>
      <c r="N37" s="233">
        <f t="shared" si="39"/>
        <v>212353.5</v>
      </c>
      <c r="O37" s="233">
        <f t="shared" si="39"/>
        <v>35392.25</v>
      </c>
      <c r="P37" s="233">
        <f t="shared" si="39"/>
        <v>247745.74999999997</v>
      </c>
      <c r="Q37" s="233">
        <f t="shared" si="39"/>
        <v>35392.25</v>
      </c>
      <c r="R37" s="233">
        <f t="shared" si="39"/>
        <v>283138</v>
      </c>
      <c r="S37" s="233">
        <f t="shared" si="39"/>
        <v>35392.25</v>
      </c>
      <c r="T37" s="233">
        <f t="shared" si="39"/>
        <v>318530.25</v>
      </c>
      <c r="U37" s="233">
        <f t="shared" si="39"/>
        <v>35392.25</v>
      </c>
      <c r="V37" s="233">
        <f t="shared" si="39"/>
        <v>353922.50000000006</v>
      </c>
      <c r="W37" s="233">
        <f t="shared" si="39"/>
        <v>35392.25</v>
      </c>
      <c r="X37" s="233">
        <f t="shared" si="39"/>
        <v>389314.75</v>
      </c>
      <c r="Y37" s="233">
        <f t="shared" si="39"/>
        <v>35392.25</v>
      </c>
      <c r="Z37" s="233">
        <f t="shared" si="39"/>
        <v>424707</v>
      </c>
      <c r="AA37" s="226">
        <f t="shared" si="38"/>
        <v>424707</v>
      </c>
      <c r="AC37" s="457">
        <f>'3.'!D18</f>
        <v>431905626.00999999</v>
      </c>
    </row>
    <row r="38" spans="1:31" x14ac:dyDescent="0.25">
      <c r="A38" s="223" t="s">
        <v>53</v>
      </c>
      <c r="B38" s="224" t="s">
        <v>338</v>
      </c>
      <c r="C38" s="225">
        <v>675</v>
      </c>
      <c r="D38" s="247">
        <f t="shared" si="25"/>
        <v>675</v>
      </c>
      <c r="E38" s="225"/>
      <c r="F38" s="247">
        <f>SUM(D38:E38)</f>
        <v>675</v>
      </c>
      <c r="G38" s="225">
        <v>0</v>
      </c>
      <c r="H38" s="226">
        <f>SUM(F38:G38)</f>
        <v>675</v>
      </c>
      <c r="I38" s="225">
        <v>25000</v>
      </c>
      <c r="J38" s="247">
        <f>SUM(H38:I38)</f>
        <v>25675</v>
      </c>
      <c r="K38" s="225">
        <v>3000</v>
      </c>
      <c r="L38" s="247"/>
      <c r="M38" s="225"/>
      <c r="N38" s="247">
        <f>SUM(L38:M38)</f>
        <v>0</v>
      </c>
      <c r="O38" s="225">
        <v>0</v>
      </c>
      <c r="P38" s="247">
        <f>SUM(N38:O38)</f>
        <v>0</v>
      </c>
      <c r="Q38" s="225">
        <v>31081</v>
      </c>
      <c r="R38" s="247">
        <f>SUM(P38:Q38)</f>
        <v>31081</v>
      </c>
      <c r="S38" s="225"/>
      <c r="T38" s="247">
        <f>SUM(R38:S38)</f>
        <v>31081</v>
      </c>
      <c r="U38" s="225">
        <v>0</v>
      </c>
      <c r="V38" s="247">
        <f>SUM(T38:U38)</f>
        <v>31081</v>
      </c>
      <c r="W38" s="225"/>
      <c r="X38" s="247">
        <f>SUM(V38:W38)</f>
        <v>31081</v>
      </c>
      <c r="Y38" s="225">
        <v>0</v>
      </c>
      <c r="Z38" s="247">
        <f>SUM(X38:Y38)</f>
        <v>31081</v>
      </c>
      <c r="AA38" s="249">
        <f>SUM(C38,E38,G38,I38,K38,M38,O38,Q38,S38,U38,W38,Y38)</f>
        <v>59756</v>
      </c>
      <c r="AC38" s="457">
        <f>'3.'!D22</f>
        <v>59756000</v>
      </c>
      <c r="AD38">
        <v>59756</v>
      </c>
    </row>
    <row r="39" spans="1:31" x14ac:dyDescent="0.25">
      <c r="A39" s="223" t="s">
        <v>54</v>
      </c>
      <c r="B39" s="224" t="s">
        <v>339</v>
      </c>
      <c r="C39" s="225"/>
      <c r="D39" s="247">
        <f t="shared" si="25"/>
        <v>0</v>
      </c>
      <c r="E39" s="225"/>
      <c r="F39" s="247">
        <f>SUM(D39:E39)</f>
        <v>0</v>
      </c>
      <c r="G39" s="225">
        <v>0</v>
      </c>
      <c r="H39" s="247">
        <f>SUM(F39:G39)</f>
        <v>0</v>
      </c>
      <c r="I39" s="225"/>
      <c r="J39" s="247">
        <f>SUM(H39:I39)</f>
        <v>0</v>
      </c>
      <c r="K39" s="225">
        <v>0</v>
      </c>
      <c r="L39" s="247">
        <f>SUM(J39:K39)</f>
        <v>0</v>
      </c>
      <c r="M39" s="225">
        <v>0</v>
      </c>
      <c r="N39" s="247">
        <f>SUM(L39:M39)</f>
        <v>0</v>
      </c>
      <c r="O39" s="225">
        <v>0</v>
      </c>
      <c r="P39" s="247">
        <f>SUM(N39:O39)</f>
        <v>0</v>
      </c>
      <c r="Q39" s="225">
        <v>0</v>
      </c>
      <c r="R39" s="247">
        <f>SUM(P39:Q39)</f>
        <v>0</v>
      </c>
      <c r="S39" s="225"/>
      <c r="T39" s="247">
        <f>SUM(R39:S39)</f>
        <v>0</v>
      </c>
      <c r="U39" s="225"/>
      <c r="V39" s="247">
        <f>SUM(T39:U39)</f>
        <v>0</v>
      </c>
      <c r="W39" s="225"/>
      <c r="X39" s="247">
        <f>SUM(V39:W39)</f>
        <v>0</v>
      </c>
      <c r="Y39" s="225">
        <v>0</v>
      </c>
      <c r="Z39" s="247">
        <f>SUM(X39:Y39)</f>
        <v>0</v>
      </c>
      <c r="AA39" s="225">
        <f>SUM(C39,E39,G39,I39,K39,M39,O39,Q39,S39,U39,W39,Y39)</f>
        <v>0</v>
      </c>
      <c r="AC39" s="457">
        <f>'3.'!D17</f>
        <v>0</v>
      </c>
    </row>
    <row r="40" spans="1:31" x14ac:dyDescent="0.25">
      <c r="A40" s="223" t="s">
        <v>55</v>
      </c>
      <c r="B40" s="224" t="s">
        <v>413</v>
      </c>
      <c r="C40" s="225"/>
      <c r="D40" s="249">
        <f>SUM(C40)</f>
        <v>0</v>
      </c>
      <c r="E40" s="225"/>
      <c r="F40" s="249">
        <f>SUM(D40:E40)</f>
        <v>0</v>
      </c>
      <c r="G40" s="225">
        <v>0</v>
      </c>
      <c r="H40" s="249">
        <f>SUM(F40:G40)</f>
        <v>0</v>
      </c>
      <c r="I40" s="225"/>
      <c r="J40" s="249">
        <f>SUM(H40:I40)</f>
        <v>0</v>
      </c>
      <c r="K40" s="225"/>
      <c r="L40" s="249">
        <f>SUM(J40:K40)</f>
        <v>0</v>
      </c>
      <c r="M40" s="225"/>
      <c r="N40" s="249">
        <f>SUM(L40:M40)</f>
        <v>0</v>
      </c>
      <c r="O40" s="225"/>
      <c r="P40" s="249">
        <f>SUM(N40:O40)</f>
        <v>0</v>
      </c>
      <c r="Q40" s="225"/>
      <c r="R40" s="249">
        <f>SUM(P40:Q40)</f>
        <v>0</v>
      </c>
      <c r="S40" s="225">
        <v>0</v>
      </c>
      <c r="T40" s="249">
        <f>SUM(R40:S40)</f>
        <v>0</v>
      </c>
      <c r="U40" s="225">
        <v>0</v>
      </c>
      <c r="V40" s="249">
        <f>SUM(T40:U40)</f>
        <v>0</v>
      </c>
      <c r="W40" s="225">
        <v>3254</v>
      </c>
      <c r="X40" s="249">
        <f>SUM(V40:W40)</f>
        <v>3254</v>
      </c>
      <c r="Y40" s="225">
        <v>0</v>
      </c>
      <c r="Z40" s="249">
        <f>SUM(X40:Y40)</f>
        <v>3254</v>
      </c>
      <c r="AA40" s="225">
        <f>SUM(C40,E40,G40,I40,K40,M40,O40,Q40,S40,U40,W40,Y40)</f>
        <v>3254</v>
      </c>
      <c r="AC40" s="457">
        <f>'3.'!D24</f>
        <v>3254000</v>
      </c>
      <c r="AD40">
        <v>3254</v>
      </c>
    </row>
    <row r="41" spans="1:31" ht="15.75" thickBot="1" x14ac:dyDescent="0.3">
      <c r="A41" s="223" t="s">
        <v>56</v>
      </c>
      <c r="B41" s="250" t="s">
        <v>332</v>
      </c>
      <c r="C41" s="225"/>
      <c r="D41" s="249">
        <f>SUM(C41)</f>
        <v>0</v>
      </c>
      <c r="E41" s="225"/>
      <c r="F41" s="249">
        <f>SUM(D41:E41)</f>
        <v>0</v>
      </c>
      <c r="G41" s="225">
        <v>0</v>
      </c>
      <c r="H41" s="249">
        <f>SUM(F41:G41)</f>
        <v>0</v>
      </c>
      <c r="I41" s="225"/>
      <c r="J41" s="249">
        <f>SUM(H41:I41)</f>
        <v>0</v>
      </c>
      <c r="K41" s="225">
        <v>0</v>
      </c>
      <c r="L41" s="249">
        <f>SUM(J41:K41)</f>
        <v>0</v>
      </c>
      <c r="M41" s="225">
        <v>0</v>
      </c>
      <c r="N41" s="249">
        <f>SUM(L41:M41)</f>
        <v>0</v>
      </c>
      <c r="O41" s="225">
        <v>0</v>
      </c>
      <c r="P41" s="249">
        <f>SUM(N41:O41)</f>
        <v>0</v>
      </c>
      <c r="Q41" s="225">
        <v>0</v>
      </c>
      <c r="R41" s="249">
        <f>SUM(P41:Q41)</f>
        <v>0</v>
      </c>
      <c r="S41" s="225">
        <v>0</v>
      </c>
      <c r="T41" s="249">
        <f>SUM(R41:S41)</f>
        <v>0</v>
      </c>
      <c r="U41" s="225">
        <v>0</v>
      </c>
      <c r="V41" s="249">
        <f>SUM(T41:U41)</f>
        <v>0</v>
      </c>
      <c r="W41" s="226">
        <v>0</v>
      </c>
      <c r="X41" s="249">
        <f>SUM(V41:W41)</f>
        <v>0</v>
      </c>
      <c r="Y41" s="225">
        <v>0</v>
      </c>
      <c r="Z41" s="249">
        <f>SUM(X41:Y41)</f>
        <v>0</v>
      </c>
      <c r="AA41" s="225">
        <f>SUM(C41,E41,G41,I41,K41,M41,O41,Q41,S41,U41,W41,Y41)</f>
        <v>0</v>
      </c>
      <c r="AC41" s="457">
        <f>'3.'!D19</f>
        <v>0</v>
      </c>
    </row>
    <row r="42" spans="1:31" ht="15.75" thickTop="1" x14ac:dyDescent="0.25">
      <c r="A42" s="717" t="s">
        <v>135</v>
      </c>
      <c r="B42" s="717"/>
      <c r="C42" s="233">
        <f t="shared" ref="C42:Z42" si="40">SUM(C38:C41)</f>
        <v>675</v>
      </c>
      <c r="D42" s="233">
        <f t="shared" si="40"/>
        <v>675</v>
      </c>
      <c r="E42" s="233">
        <f t="shared" si="40"/>
        <v>0</v>
      </c>
      <c r="F42" s="233">
        <f t="shared" si="40"/>
        <v>675</v>
      </c>
      <c r="G42" s="233">
        <f t="shared" si="40"/>
        <v>0</v>
      </c>
      <c r="H42" s="233">
        <f t="shared" si="40"/>
        <v>675</v>
      </c>
      <c r="I42" s="233">
        <f t="shared" si="40"/>
        <v>25000</v>
      </c>
      <c r="J42" s="233">
        <f t="shared" si="40"/>
        <v>25675</v>
      </c>
      <c r="K42" s="233">
        <f t="shared" si="40"/>
        <v>3000</v>
      </c>
      <c r="L42" s="233">
        <f t="shared" si="40"/>
        <v>0</v>
      </c>
      <c r="M42" s="233">
        <f t="shared" si="40"/>
        <v>0</v>
      </c>
      <c r="N42" s="233">
        <f t="shared" si="40"/>
        <v>0</v>
      </c>
      <c r="O42" s="233">
        <f t="shared" si="40"/>
        <v>0</v>
      </c>
      <c r="P42" s="233">
        <f t="shared" si="40"/>
        <v>0</v>
      </c>
      <c r="Q42" s="233">
        <f t="shared" si="40"/>
        <v>31081</v>
      </c>
      <c r="R42" s="233">
        <f t="shared" si="40"/>
        <v>31081</v>
      </c>
      <c r="S42" s="233">
        <f t="shared" si="40"/>
        <v>0</v>
      </c>
      <c r="T42" s="233">
        <f t="shared" si="40"/>
        <v>31081</v>
      </c>
      <c r="U42" s="233">
        <f t="shared" si="40"/>
        <v>0</v>
      </c>
      <c r="V42" s="233">
        <f t="shared" si="40"/>
        <v>31081</v>
      </c>
      <c r="W42" s="234">
        <f t="shared" si="40"/>
        <v>3254</v>
      </c>
      <c r="X42" s="233">
        <f t="shared" si="40"/>
        <v>34335</v>
      </c>
      <c r="Y42" s="233">
        <f t="shared" si="40"/>
        <v>0</v>
      </c>
      <c r="Z42" s="233">
        <f t="shared" si="40"/>
        <v>34335</v>
      </c>
      <c r="AA42" s="226">
        <f>SUM(C42,E42,G42,I42,K42,M42,O42,Q42,S42,U42,W42,Y42)</f>
        <v>63010</v>
      </c>
      <c r="AC42" s="457">
        <f>'3.'!D25</f>
        <v>63010000</v>
      </c>
      <c r="AD42">
        <v>63010</v>
      </c>
    </row>
    <row r="43" spans="1:31" ht="15.75" thickBot="1" x14ac:dyDescent="0.3">
      <c r="A43" s="718" t="s">
        <v>414</v>
      </c>
      <c r="B43" s="718"/>
      <c r="C43" s="232"/>
      <c r="D43" s="247">
        <f>SUM(B43:C43)</f>
        <v>0</v>
      </c>
      <c r="E43" s="232"/>
      <c r="F43" s="247">
        <f>SUM(D43:E43)</f>
        <v>0</v>
      </c>
      <c r="G43" s="232"/>
      <c r="H43" s="247">
        <f>SUM(F43:G43)</f>
        <v>0</v>
      </c>
      <c r="I43" s="232"/>
      <c r="J43" s="247">
        <f>SUM(H43:I43)</f>
        <v>0</v>
      </c>
      <c r="K43" s="232"/>
      <c r="L43" s="247">
        <f>SUM(J43:K43)</f>
        <v>0</v>
      </c>
      <c r="M43" s="232"/>
      <c r="N43" s="247">
        <f>SUM(L43:M43)</f>
        <v>0</v>
      </c>
      <c r="O43" s="232"/>
      <c r="P43" s="247">
        <f>SUM(N43:O43)</f>
        <v>0</v>
      </c>
      <c r="Q43" s="232"/>
      <c r="R43" s="247">
        <f>SUM(P43:Q43)</f>
        <v>0</v>
      </c>
      <c r="S43" s="232"/>
      <c r="T43" s="247">
        <f>SUM(R43:S43)</f>
        <v>0</v>
      </c>
      <c r="U43" s="232"/>
      <c r="V43" s="247">
        <f>SUM(T43:U43)</f>
        <v>0</v>
      </c>
      <c r="W43" s="232"/>
      <c r="X43" s="247">
        <f>SUM(V43:W43)</f>
        <v>0</v>
      </c>
      <c r="Y43" s="232">
        <f>AD43</f>
        <v>7199</v>
      </c>
      <c r="Z43" s="226">
        <f>SUM(X43:Y43)</f>
        <v>7199</v>
      </c>
      <c r="AA43" s="251">
        <f t="shared" si="38"/>
        <v>7199</v>
      </c>
      <c r="AC43" s="457">
        <f>'3.'!D14+'3.'!D16</f>
        <v>7199287</v>
      </c>
      <c r="AD43">
        <v>7199</v>
      </c>
    </row>
    <row r="44" spans="1:31" ht="15.75" thickBot="1" x14ac:dyDescent="0.3">
      <c r="A44" s="719" t="s">
        <v>137</v>
      </c>
      <c r="B44" s="720"/>
      <c r="C44" s="243">
        <f>SUM(C37,C42,C43)</f>
        <v>36067.25</v>
      </c>
      <c r="D44" s="243">
        <f>SUM(D37,D42,D43)</f>
        <v>36067.25</v>
      </c>
      <c r="E44" s="243">
        <f>SUM(E37,E42,E43)</f>
        <v>35392.25</v>
      </c>
      <c r="F44" s="243">
        <f>SUM(F37,F42,F43)</f>
        <v>71459.5</v>
      </c>
      <c r="G44" s="243">
        <f>SUM(G37,G42,G43)</f>
        <v>35392.25</v>
      </c>
      <c r="H44" s="243">
        <f t="shared" ref="H44:W44" si="41">SUM(H37,H42,H43)</f>
        <v>106851.75</v>
      </c>
      <c r="I44" s="243">
        <f t="shared" si="41"/>
        <v>60392.25</v>
      </c>
      <c r="J44" s="243">
        <f t="shared" si="41"/>
        <v>167244</v>
      </c>
      <c r="K44" s="243">
        <f t="shared" si="41"/>
        <v>38392.25</v>
      </c>
      <c r="L44" s="243">
        <f t="shared" si="41"/>
        <v>176961.25</v>
      </c>
      <c r="M44" s="243">
        <f t="shared" si="41"/>
        <v>35392.25</v>
      </c>
      <c r="N44" s="243">
        <f t="shared" si="41"/>
        <v>212353.5</v>
      </c>
      <c r="O44" s="243">
        <f t="shared" si="41"/>
        <v>35392.25</v>
      </c>
      <c r="P44" s="243">
        <f t="shared" si="41"/>
        <v>247745.74999999997</v>
      </c>
      <c r="Q44" s="243">
        <f t="shared" si="41"/>
        <v>66473.25</v>
      </c>
      <c r="R44" s="243">
        <f t="shared" si="41"/>
        <v>314219</v>
      </c>
      <c r="S44" s="243">
        <f t="shared" si="41"/>
        <v>35392.25</v>
      </c>
      <c r="T44" s="243">
        <f t="shared" si="41"/>
        <v>349611.25</v>
      </c>
      <c r="U44" s="243">
        <f t="shared" si="41"/>
        <v>35392.25</v>
      </c>
      <c r="V44" s="243">
        <f t="shared" si="41"/>
        <v>385003.50000000006</v>
      </c>
      <c r="W44" s="243">
        <f t="shared" si="41"/>
        <v>38646.25</v>
      </c>
      <c r="X44" s="243">
        <f>SUM(X37,X42,X43)</f>
        <v>423649.75</v>
      </c>
      <c r="Y44" s="243">
        <f>SUM(Y37,Y42,Y43)</f>
        <v>42591.25</v>
      </c>
      <c r="Z44" s="243">
        <f>SUM(Z37,Z42:Z43)</f>
        <v>466241</v>
      </c>
      <c r="AA44" s="252">
        <f>SUM(C44,E44,G44,I44,K44,M44,O44,Q44,S44,U44,W44,Y44)</f>
        <v>494916</v>
      </c>
      <c r="AC44" s="457">
        <f>'3.'!D27</f>
        <v>494915626.00999999</v>
      </c>
      <c r="AE44" s="431"/>
    </row>
    <row r="45" spans="1:31" x14ac:dyDescent="0.25">
      <c r="A45" s="721" t="s">
        <v>415</v>
      </c>
      <c r="B45" s="722"/>
      <c r="C45" s="226">
        <f t="shared" ref="C45:V45" si="42">C25-C44</f>
        <v>-14968.75</v>
      </c>
      <c r="D45" s="226">
        <f t="shared" si="42"/>
        <v>-14968.75</v>
      </c>
      <c r="E45" s="226">
        <f t="shared" si="42"/>
        <v>-680.44999999999709</v>
      </c>
      <c r="F45" s="226">
        <f t="shared" si="42"/>
        <v>-15649.199999999997</v>
      </c>
      <c r="G45" s="226">
        <f t="shared" si="42"/>
        <v>-5196.3499999999985</v>
      </c>
      <c r="H45" s="226">
        <f t="shared" si="42"/>
        <v>-20845.550000000003</v>
      </c>
      <c r="I45" s="226">
        <f t="shared" si="42"/>
        <v>7747.3500000000058</v>
      </c>
      <c r="J45" s="226">
        <f t="shared" si="42"/>
        <v>-13098.200000000012</v>
      </c>
      <c r="K45" s="226">
        <f t="shared" si="42"/>
        <v>67609.350000000006</v>
      </c>
      <c r="L45" s="226">
        <f t="shared" si="42"/>
        <v>83186.149999999994</v>
      </c>
      <c r="M45" s="226">
        <f t="shared" si="42"/>
        <v>9357.3499999999985</v>
      </c>
      <c r="N45" s="226">
        <f t="shared" si="42"/>
        <v>92543.5</v>
      </c>
      <c r="O45" s="226">
        <f t="shared" si="42"/>
        <v>-12632.650000000001</v>
      </c>
      <c r="P45" s="226">
        <f t="shared" si="42"/>
        <v>79910.850000000006</v>
      </c>
      <c r="Q45" s="226">
        <f t="shared" si="42"/>
        <v>-43817.65</v>
      </c>
      <c r="R45" s="226">
        <f t="shared" si="42"/>
        <v>36093.200000000012</v>
      </c>
      <c r="S45" s="226">
        <f t="shared" si="42"/>
        <v>-2042.6500000000015</v>
      </c>
      <c r="T45" s="226">
        <f t="shared" si="42"/>
        <v>34050.549999999988</v>
      </c>
      <c r="U45" s="226">
        <f t="shared" si="42"/>
        <v>-4872.6500000000015</v>
      </c>
      <c r="V45" s="226">
        <f t="shared" si="42"/>
        <v>29177.899999999965</v>
      </c>
      <c r="W45" s="226">
        <f>W25-W44</f>
        <v>10937.349999999999</v>
      </c>
      <c r="X45" s="226">
        <f>X25-X44</f>
        <v>40115.25</v>
      </c>
      <c r="Y45" s="226">
        <f>Y25-Y44</f>
        <v>-11441.25</v>
      </c>
      <c r="Z45" s="226">
        <f>Z25-Z44</f>
        <v>28674</v>
      </c>
      <c r="AA45" s="253">
        <f>AA25-AA44</f>
        <v>0</v>
      </c>
      <c r="AC45" s="457"/>
    </row>
    <row r="46" spans="1:31" x14ac:dyDescent="0.25">
      <c r="AC46" s="457"/>
    </row>
    <row r="47" spans="1:31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C47" s="457"/>
    </row>
    <row r="48" spans="1:31" ht="15.75" thickBot="1" x14ac:dyDescent="0.3">
      <c r="A48" s="204"/>
      <c r="B48" s="473" t="s">
        <v>636</v>
      </c>
      <c r="C48" s="293">
        <v>36422</v>
      </c>
      <c r="D48" s="204" t="s">
        <v>639</v>
      </c>
      <c r="F48" s="204"/>
      <c r="G48" s="204"/>
      <c r="H48" s="204"/>
      <c r="I48" s="204">
        <v>9618</v>
      </c>
      <c r="J48" s="204" t="s">
        <v>655</v>
      </c>
      <c r="K48" s="204"/>
      <c r="L48" s="204"/>
      <c r="M48" s="204"/>
      <c r="N48" s="204"/>
      <c r="O48" s="204"/>
      <c r="P48" s="204"/>
      <c r="Q48" s="204"/>
      <c r="R48" s="474"/>
      <c r="S48" s="474"/>
      <c r="T48" s="474"/>
      <c r="U48" s="474"/>
      <c r="V48" s="474"/>
      <c r="W48" s="474"/>
      <c r="X48" s="474"/>
      <c r="Y48" s="474"/>
      <c r="Z48" s="475" t="s">
        <v>638</v>
      </c>
      <c r="AA48" s="474"/>
      <c r="AC48" s="457"/>
    </row>
    <row r="49" spans="1:29" ht="15.75" thickBot="1" x14ac:dyDescent="0.3">
      <c r="A49" s="476"/>
      <c r="B49" s="477" t="s">
        <v>634</v>
      </c>
      <c r="C49" s="478">
        <f>C48-C44+C25</f>
        <v>21453.25</v>
      </c>
      <c r="D49" s="478"/>
      <c r="E49" s="478">
        <f>C49-E44+E25</f>
        <v>20772.800000000003</v>
      </c>
      <c r="F49" s="479"/>
      <c r="G49" s="478">
        <f>E49-G44+G25</f>
        <v>15576.450000000004</v>
      </c>
      <c r="H49" s="479"/>
      <c r="I49" s="478">
        <f>G49-I44+I25-I48</f>
        <v>13705.80000000001</v>
      </c>
      <c r="J49" s="479"/>
      <c r="K49" s="478">
        <f>I49-K44+K25</f>
        <v>81315.150000000023</v>
      </c>
      <c r="L49" s="479"/>
      <c r="M49" s="478">
        <f>K49-M44+M25</f>
        <v>90672.500000000029</v>
      </c>
      <c r="N49" s="479"/>
      <c r="O49" s="478">
        <f>M49-O44+O25</f>
        <v>78039.850000000035</v>
      </c>
      <c r="P49" s="479"/>
      <c r="Q49" s="478">
        <f>O49-Q44+Q25</f>
        <v>34222.200000000033</v>
      </c>
      <c r="R49" s="480"/>
      <c r="S49" s="481">
        <f>Q49-S44+S25</f>
        <v>32179.550000000032</v>
      </c>
      <c r="T49" s="480"/>
      <c r="U49" s="481">
        <f>S49-U44+U25</f>
        <v>27306.900000000031</v>
      </c>
      <c r="V49" s="480"/>
      <c r="W49" s="481">
        <f>U49-W44+W25</f>
        <v>38244.250000000029</v>
      </c>
      <c r="X49" s="480"/>
      <c r="Y49" s="481">
        <f>(W49-Y44+Y25)</f>
        <v>26803.000000000029</v>
      </c>
      <c r="Z49" s="480"/>
      <c r="AA49" s="481">
        <f>Y49</f>
        <v>26803.000000000029</v>
      </c>
      <c r="AC49" s="457"/>
    </row>
    <row r="50" spans="1:29" x14ac:dyDescent="0.25">
      <c r="B50" t="s">
        <v>635</v>
      </c>
      <c r="R50" s="474"/>
      <c r="S50" s="474"/>
      <c r="T50" s="474"/>
      <c r="U50" s="474"/>
      <c r="V50" s="474"/>
      <c r="W50" s="474"/>
      <c r="X50" s="474"/>
      <c r="Y50" s="474"/>
      <c r="Z50" s="474"/>
      <c r="AA50" s="474"/>
    </row>
    <row r="52" spans="1:29" x14ac:dyDescent="0.25">
      <c r="B52" t="s">
        <v>628</v>
      </c>
      <c r="C52">
        <v>0.05</v>
      </c>
      <c r="E52">
        <v>0.14000000000000001</v>
      </c>
      <c r="G52">
        <v>7.0000000000000007E-2</v>
      </c>
      <c r="I52">
        <v>0.08</v>
      </c>
      <c r="K52">
        <v>0.08</v>
      </c>
      <c r="M52">
        <v>0.08</v>
      </c>
      <c r="O52">
        <v>0.08</v>
      </c>
      <c r="Q52">
        <v>0.08</v>
      </c>
      <c r="S52">
        <v>0.08</v>
      </c>
      <c r="U52">
        <v>0.08</v>
      </c>
      <c r="W52">
        <v>0.08</v>
      </c>
      <c r="Y52">
        <v>0.1</v>
      </c>
      <c r="AA52">
        <f>SUM(C52:Z52)</f>
        <v>0.99999999999999978</v>
      </c>
    </row>
    <row r="53" spans="1:29" x14ac:dyDescent="0.25">
      <c r="B53" t="s">
        <v>637</v>
      </c>
    </row>
    <row r="61" spans="1:29" x14ac:dyDescent="0.25">
      <c r="N61" t="s">
        <v>630</v>
      </c>
      <c r="Q61" s="473" t="s">
        <v>631</v>
      </c>
      <c r="X61" t="s">
        <v>632</v>
      </c>
    </row>
    <row r="62" spans="1:29" x14ac:dyDescent="0.25">
      <c r="Q62" t="s">
        <v>629</v>
      </c>
      <c r="X62" t="s">
        <v>633</v>
      </c>
    </row>
  </sheetData>
  <mergeCells count="38">
    <mergeCell ref="W8:X8"/>
    <mergeCell ref="Y8:Z8"/>
    <mergeCell ref="AA8:AA9"/>
    <mergeCell ref="A20:B20"/>
    <mergeCell ref="A24:B24"/>
    <mergeCell ref="K8:L8"/>
    <mergeCell ref="M8:N8"/>
    <mergeCell ref="O8:P8"/>
    <mergeCell ref="Q8:R8"/>
    <mergeCell ref="S8:T8"/>
    <mergeCell ref="U8:V8"/>
    <mergeCell ref="A8:B9"/>
    <mergeCell ref="C8:D8"/>
    <mergeCell ref="E8:F8"/>
    <mergeCell ref="G8:H8"/>
    <mergeCell ref="I8:J8"/>
    <mergeCell ref="Z27:AA27"/>
    <mergeCell ref="A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A29"/>
    <mergeCell ref="A42:B42"/>
    <mergeCell ref="A43:B43"/>
    <mergeCell ref="A44:B44"/>
    <mergeCell ref="A45:B45"/>
    <mergeCell ref="A2:L2"/>
    <mergeCell ref="A37:B37"/>
    <mergeCell ref="A25:B25"/>
  </mergeCells>
  <pageMargins left="0.19685039370078741" right="0.19685039370078741" top="0.74803149606299213" bottom="0.74803149606299213" header="0.31496062992125984" footer="0.31496062992125984"/>
  <pageSetup paperSize="8" scale="71" orientation="landscape" r:id="rId1"/>
  <headerFooter>
    <oddHeader>&amp;R16. sz. melléklet / &amp;P.oldal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3"/>
    </sheetView>
  </sheetViews>
  <sheetFormatPr defaultRowHeight="15" x14ac:dyDescent="0.25"/>
  <cols>
    <col min="1" max="1" width="11.28515625" customWidth="1"/>
    <col min="2" max="2" width="4.28515625" customWidth="1"/>
    <col min="3" max="3" width="38" customWidth="1"/>
    <col min="4" max="4" width="7.42578125" customWidth="1"/>
    <col min="5" max="5" width="19.140625" customWidth="1"/>
  </cols>
  <sheetData>
    <row r="1" spans="1:5" ht="15.75" x14ac:dyDescent="0.25">
      <c r="A1" s="740"/>
      <c r="B1" s="741"/>
      <c r="C1" s="741"/>
      <c r="D1" s="741"/>
      <c r="E1" s="741"/>
    </row>
    <row r="2" spans="1:5" ht="30.75" customHeight="1" x14ac:dyDescent="0.25">
      <c r="A2" s="742" t="s">
        <v>750</v>
      </c>
      <c r="B2" s="742"/>
      <c r="C2" s="742"/>
      <c r="D2" s="742"/>
      <c r="E2" s="742"/>
    </row>
    <row r="3" spans="1:5" ht="41.25" customHeight="1" x14ac:dyDescent="0.3">
      <c r="A3" s="631" t="s">
        <v>751</v>
      </c>
      <c r="B3" s="631"/>
      <c r="C3" s="631"/>
      <c r="D3" s="631"/>
      <c r="E3" s="631"/>
    </row>
    <row r="4" spans="1:5" ht="15.75" x14ac:dyDescent="0.25">
      <c r="A4" s="739" t="s">
        <v>748</v>
      </c>
      <c r="B4" s="739"/>
      <c r="C4" s="739"/>
      <c r="D4" s="739"/>
      <c r="E4" s="739"/>
    </row>
    <row r="5" spans="1:5" ht="15.75" x14ac:dyDescent="0.25">
      <c r="A5" s="12"/>
      <c r="B5" s="12"/>
      <c r="C5" s="12"/>
      <c r="D5" s="12"/>
      <c r="E5" s="12"/>
    </row>
    <row r="6" spans="1:5" ht="15.75" x14ac:dyDescent="0.25">
      <c r="A6" s="12"/>
      <c r="B6" s="598"/>
      <c r="C6" s="598"/>
      <c r="D6" s="598"/>
      <c r="E6" s="598"/>
    </row>
    <row r="7" spans="1:5" ht="15.75" x14ac:dyDescent="0.25">
      <c r="A7" t="s">
        <v>46</v>
      </c>
      <c r="B7" s="599"/>
      <c r="C7" s="599"/>
      <c r="D7" s="599"/>
      <c r="E7" s="599"/>
    </row>
    <row r="8" spans="1:5" ht="16.5" thickBot="1" x14ac:dyDescent="0.3">
      <c r="A8" s="470"/>
      <c r="B8" s="604"/>
      <c r="C8" s="604"/>
      <c r="D8" s="604"/>
      <c r="E8" s="605"/>
    </row>
    <row r="9" spans="1:5" ht="15.75" x14ac:dyDescent="0.25">
      <c r="A9" s="601"/>
      <c r="B9" s="600"/>
      <c r="C9" s="602" t="s">
        <v>353</v>
      </c>
      <c r="D9" s="600"/>
      <c r="E9" s="603">
        <f>SUM(E8:E8)</f>
        <v>0</v>
      </c>
    </row>
    <row r="13" spans="1:5" x14ac:dyDescent="0.25">
      <c r="A13" t="s">
        <v>749</v>
      </c>
    </row>
  </sheetData>
  <mergeCells count="4">
    <mergeCell ref="A3:E3"/>
    <mergeCell ref="A4:E4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&amp;R17. sz. melléklet / &amp;P.oldal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C67" sqref="C67"/>
    </sheetView>
  </sheetViews>
  <sheetFormatPr defaultRowHeight="15" x14ac:dyDescent="0.25"/>
  <cols>
    <col min="1" max="1" width="6.28515625" customWidth="1"/>
    <col min="2" max="2" width="54.28515625" customWidth="1"/>
    <col min="3" max="3" width="11.7109375" bestFit="1" customWidth="1"/>
    <col min="4" max="4" width="10.28515625" bestFit="1" customWidth="1"/>
    <col min="6" max="6" width="12.42578125" customWidth="1"/>
    <col min="9" max="9" width="9.85546875" bestFit="1" customWidth="1"/>
    <col min="10" max="10" width="10" customWidth="1"/>
    <col min="11" max="11" width="13.85546875" customWidth="1"/>
  </cols>
  <sheetData>
    <row r="1" spans="1:11" x14ac:dyDescent="0.25">
      <c r="A1" s="614" t="s">
        <v>664</v>
      </c>
      <c r="B1" s="614"/>
      <c r="C1" s="614"/>
    </row>
    <row r="2" spans="1:11" ht="15.75" x14ac:dyDescent="0.25">
      <c r="A2" s="57"/>
      <c r="B2" s="58"/>
      <c r="C2" s="59" t="s">
        <v>37</v>
      </c>
    </row>
    <row r="4" spans="1:11" x14ac:dyDescent="0.25">
      <c r="A4" s="459" t="s">
        <v>574</v>
      </c>
      <c r="B4" s="205" t="s">
        <v>575</v>
      </c>
      <c r="C4" s="459"/>
      <c r="D4" s="459" t="s">
        <v>599</v>
      </c>
      <c r="E4" t="s">
        <v>610</v>
      </c>
      <c r="F4" t="s">
        <v>623</v>
      </c>
      <c r="G4" t="s">
        <v>603</v>
      </c>
      <c r="H4" t="s">
        <v>604</v>
      </c>
      <c r="I4" t="s">
        <v>605</v>
      </c>
      <c r="J4" t="s">
        <v>606</v>
      </c>
      <c r="K4" t="s">
        <v>622</v>
      </c>
    </row>
    <row r="5" spans="1:11" x14ac:dyDescent="0.25">
      <c r="A5" t="s">
        <v>46</v>
      </c>
      <c r="B5" t="s">
        <v>576</v>
      </c>
      <c r="C5" s="457">
        <v>2000000</v>
      </c>
      <c r="D5" s="457">
        <f>C5*0.27</f>
        <v>540000</v>
      </c>
      <c r="F5" s="457">
        <f>D5</f>
        <v>540000</v>
      </c>
      <c r="G5" s="295"/>
      <c r="H5" s="295"/>
      <c r="I5" s="295"/>
      <c r="J5" s="295"/>
    </row>
    <row r="6" spans="1:11" x14ac:dyDescent="0.25">
      <c r="B6" s="458" t="s">
        <v>577</v>
      </c>
      <c r="C6" s="457"/>
      <c r="F6" s="457">
        <f t="shared" ref="F6:F23" si="0">D6</f>
        <v>0</v>
      </c>
      <c r="G6" s="295"/>
      <c r="H6" s="295"/>
      <c r="I6" s="295"/>
      <c r="J6" s="295"/>
    </row>
    <row r="7" spans="1:11" x14ac:dyDescent="0.25">
      <c r="A7" t="s">
        <v>47</v>
      </c>
      <c r="B7" t="s">
        <v>693</v>
      </c>
      <c r="C7" s="457">
        <f>J7</f>
        <v>2257200</v>
      </c>
      <c r="D7" s="457">
        <f>C7*0.27</f>
        <v>609444</v>
      </c>
      <c r="F7" s="457">
        <f t="shared" si="0"/>
        <v>609444</v>
      </c>
      <c r="G7" s="295">
        <v>38</v>
      </c>
      <c r="H7" s="295">
        <v>220</v>
      </c>
      <c r="I7" s="295">
        <v>270</v>
      </c>
      <c r="J7" s="295">
        <f>G7*H7*I7</f>
        <v>2257200</v>
      </c>
    </row>
    <row r="8" spans="1:11" x14ac:dyDescent="0.25">
      <c r="A8" t="s">
        <v>48</v>
      </c>
      <c r="B8" t="s">
        <v>694</v>
      </c>
      <c r="C8" s="457">
        <f>J8</f>
        <v>1821600</v>
      </c>
      <c r="D8" s="457">
        <f>C8*0.27</f>
        <v>491832.00000000006</v>
      </c>
      <c r="F8" s="457">
        <f t="shared" si="0"/>
        <v>491832.00000000006</v>
      </c>
      <c r="G8" s="295">
        <v>36</v>
      </c>
      <c r="H8" s="295">
        <v>220</v>
      </c>
      <c r="I8" s="295">
        <v>230</v>
      </c>
      <c r="J8" s="295">
        <f>G8*H8*I8</f>
        <v>1821600</v>
      </c>
    </row>
    <row r="9" spans="1:11" x14ac:dyDescent="0.25">
      <c r="B9" s="458" t="s">
        <v>591</v>
      </c>
      <c r="C9" s="457"/>
      <c r="F9" s="457">
        <f t="shared" si="0"/>
        <v>0</v>
      </c>
      <c r="G9" s="295"/>
      <c r="H9" s="295"/>
      <c r="I9" s="295"/>
      <c r="J9" s="295"/>
    </row>
    <row r="10" spans="1:11" x14ac:dyDescent="0.25">
      <c r="B10" s="431" t="s">
        <v>600</v>
      </c>
      <c r="C10" s="457"/>
      <c r="F10" s="457">
        <f t="shared" si="0"/>
        <v>0</v>
      </c>
      <c r="G10" s="295"/>
      <c r="H10" s="295"/>
      <c r="I10" s="295"/>
      <c r="J10" s="295"/>
    </row>
    <row r="11" spans="1:11" x14ac:dyDescent="0.25">
      <c r="A11" t="s">
        <v>49</v>
      </c>
      <c r="B11" t="s">
        <v>695</v>
      </c>
      <c r="C11" s="457">
        <f>J11</f>
        <v>2664000</v>
      </c>
      <c r="D11" s="457">
        <f>C11*0.27</f>
        <v>719280</v>
      </c>
      <c r="F11" s="457">
        <f t="shared" ref="F11" si="1">D11</f>
        <v>719280</v>
      </c>
      <c r="G11" s="295">
        <v>40</v>
      </c>
      <c r="H11" s="295">
        <v>185</v>
      </c>
      <c r="I11" s="295">
        <v>360</v>
      </c>
      <c r="J11" s="295">
        <f>G11*H11*I11</f>
        <v>2664000</v>
      </c>
    </row>
    <row r="12" spans="1:11" x14ac:dyDescent="0.25">
      <c r="A12" t="s">
        <v>50</v>
      </c>
      <c r="B12" t="s">
        <v>696</v>
      </c>
      <c r="C12" s="457">
        <f>J12</f>
        <v>138750</v>
      </c>
      <c r="D12" s="457">
        <f>C12*0.27</f>
        <v>37462.5</v>
      </c>
      <c r="F12" s="457">
        <f t="shared" si="0"/>
        <v>37462.5</v>
      </c>
      <c r="G12" s="295">
        <v>2</v>
      </c>
      <c r="H12" s="295">
        <v>185</v>
      </c>
      <c r="I12" s="295">
        <v>375</v>
      </c>
      <c r="J12" s="295">
        <f>G12*H12*I12</f>
        <v>138750</v>
      </c>
    </row>
    <row r="13" spans="1:11" x14ac:dyDescent="0.25">
      <c r="B13" s="431" t="s">
        <v>601</v>
      </c>
      <c r="C13" s="457"/>
      <c r="F13" s="457">
        <f t="shared" si="0"/>
        <v>0</v>
      </c>
      <c r="G13" s="295"/>
      <c r="H13" s="295"/>
      <c r="I13" s="295"/>
      <c r="J13" s="295"/>
    </row>
    <row r="14" spans="1:11" x14ac:dyDescent="0.25">
      <c r="A14" t="s">
        <v>51</v>
      </c>
      <c r="B14" t="s">
        <v>697</v>
      </c>
      <c r="C14" s="457">
        <f>J14</f>
        <v>2179300</v>
      </c>
      <c r="D14" s="457">
        <f>C14*0.27</f>
        <v>588411</v>
      </c>
      <c r="F14" s="457">
        <f t="shared" si="0"/>
        <v>588411</v>
      </c>
      <c r="G14" s="295">
        <v>38</v>
      </c>
      <c r="H14" s="295">
        <v>185</v>
      </c>
      <c r="I14" s="295">
        <v>310</v>
      </c>
      <c r="J14" s="295">
        <f>G14*H14*I14</f>
        <v>2179300</v>
      </c>
    </row>
    <row r="15" spans="1:11" x14ac:dyDescent="0.25">
      <c r="A15" t="s">
        <v>52</v>
      </c>
      <c r="B15" t="s">
        <v>698</v>
      </c>
      <c r="C15" s="457">
        <f>J15</f>
        <v>2946125</v>
      </c>
      <c r="D15" s="457">
        <f>C15*0.27</f>
        <v>795453.75</v>
      </c>
      <c r="F15" s="457">
        <f t="shared" si="0"/>
        <v>795453.75</v>
      </c>
      <c r="G15" s="295">
        <v>49</v>
      </c>
      <c r="H15" s="295">
        <v>185</v>
      </c>
      <c r="I15" s="295">
        <v>325</v>
      </c>
      <c r="J15" s="295">
        <f>G15*H15*I15</f>
        <v>2946125</v>
      </c>
    </row>
    <row r="16" spans="1:11" x14ac:dyDescent="0.25">
      <c r="B16" s="431" t="s">
        <v>602</v>
      </c>
      <c r="C16" s="457"/>
      <c r="F16" s="457">
        <f t="shared" si="0"/>
        <v>0</v>
      </c>
      <c r="G16" s="295"/>
      <c r="H16" s="295"/>
      <c r="I16" s="295"/>
      <c r="J16" s="295"/>
    </row>
    <row r="17" spans="1:11" x14ac:dyDescent="0.25">
      <c r="A17" t="s">
        <v>53</v>
      </c>
      <c r="B17" t="s">
        <v>699</v>
      </c>
      <c r="C17" s="457">
        <f>J17</f>
        <v>88800</v>
      </c>
      <c r="D17" s="457">
        <f t="shared" ref="D17:D22" si="2">C17*0.27</f>
        <v>23976</v>
      </c>
      <c r="F17" s="457">
        <f t="shared" si="0"/>
        <v>23976</v>
      </c>
      <c r="G17" s="295">
        <v>2</v>
      </c>
      <c r="H17" s="295">
        <v>185</v>
      </c>
      <c r="I17" s="295">
        <v>240</v>
      </c>
      <c r="J17" s="295">
        <f>G17*H17*I17</f>
        <v>88800</v>
      </c>
    </row>
    <row r="18" spans="1:11" x14ac:dyDescent="0.25">
      <c r="A18" t="s">
        <v>54</v>
      </c>
      <c r="B18" t="s">
        <v>700</v>
      </c>
      <c r="C18" s="457">
        <f>J18</f>
        <v>235875</v>
      </c>
      <c r="D18" s="457">
        <f t="shared" si="2"/>
        <v>63686.250000000007</v>
      </c>
      <c r="F18" s="457">
        <f t="shared" si="0"/>
        <v>63686.250000000007</v>
      </c>
      <c r="G18" s="295">
        <v>5</v>
      </c>
      <c r="H18" s="295">
        <v>185</v>
      </c>
      <c r="I18" s="295">
        <v>255</v>
      </c>
      <c r="J18" s="295">
        <f>G18*H18*I18</f>
        <v>235875</v>
      </c>
    </row>
    <row r="19" spans="1:11" x14ac:dyDescent="0.25">
      <c r="A19" t="s">
        <v>55</v>
      </c>
      <c r="B19" t="s">
        <v>621</v>
      </c>
      <c r="C19" s="457">
        <f>J19</f>
        <v>8754480</v>
      </c>
      <c r="D19" s="457">
        <f t="shared" si="2"/>
        <v>2363709.6</v>
      </c>
      <c r="E19" s="457">
        <f>SUM(C19:D19)</f>
        <v>11118189.6</v>
      </c>
      <c r="F19" s="457">
        <f t="shared" si="0"/>
        <v>2363709.6</v>
      </c>
      <c r="G19" s="295">
        <v>90</v>
      </c>
      <c r="H19" s="295">
        <v>252</v>
      </c>
      <c r="I19" s="295">
        <f>K19</f>
        <v>386</v>
      </c>
      <c r="J19" s="295">
        <f>G19*H19*I19</f>
        <v>8754480</v>
      </c>
      <c r="K19" s="461">
        <f>ROUND((490/127*100),0)</f>
        <v>386</v>
      </c>
    </row>
    <row r="20" spans="1:11" x14ac:dyDescent="0.25">
      <c r="A20" t="s">
        <v>56</v>
      </c>
      <c r="B20" t="s">
        <v>620</v>
      </c>
      <c r="C20" s="457">
        <f>J20</f>
        <v>1034150</v>
      </c>
      <c r="D20" s="457">
        <f t="shared" si="2"/>
        <v>279220.5</v>
      </c>
      <c r="E20" s="457">
        <f t="shared" ref="E20:E22" si="3">SUM(C20:D20)</f>
        <v>1313370.5</v>
      </c>
      <c r="F20" s="457">
        <f t="shared" si="0"/>
        <v>279220.5</v>
      </c>
      <c r="G20" s="295">
        <v>10</v>
      </c>
      <c r="H20" s="295">
        <v>185</v>
      </c>
      <c r="I20" s="295">
        <f>K20</f>
        <v>559</v>
      </c>
      <c r="J20" s="295">
        <f>G20*H20*I20</f>
        <v>1034150</v>
      </c>
      <c r="K20" s="461">
        <f>ROUND((710/127*100),0)</f>
        <v>559</v>
      </c>
    </row>
    <row r="21" spans="1:11" x14ac:dyDescent="0.25">
      <c r="A21" t="s">
        <v>57</v>
      </c>
      <c r="B21" t="s">
        <v>663</v>
      </c>
      <c r="C21" s="457">
        <f>J21</f>
        <v>6469625</v>
      </c>
      <c r="D21" s="457">
        <f t="shared" si="2"/>
        <v>1746798.75</v>
      </c>
      <c r="E21" s="457">
        <f t="shared" si="3"/>
        <v>8216423.75</v>
      </c>
      <c r="F21" s="457">
        <f t="shared" si="0"/>
        <v>1746798.75</v>
      </c>
      <c r="G21" s="295">
        <v>25</v>
      </c>
      <c r="H21" s="295">
        <v>365</v>
      </c>
      <c r="I21" s="295">
        <f>K21</f>
        <v>709</v>
      </c>
      <c r="J21" s="295">
        <f>G21*H21*I21</f>
        <v>6469625</v>
      </c>
      <c r="K21" s="461">
        <f>ROUND((900/127*100),0)</f>
        <v>709</v>
      </c>
    </row>
    <row r="22" spans="1:11" x14ac:dyDescent="0.25">
      <c r="A22" t="s">
        <v>58</v>
      </c>
      <c r="B22" s="329" t="s">
        <v>613</v>
      </c>
      <c r="C22" s="462">
        <f>((SUM(C5:C21)-C20-C5)*0.6)</f>
        <v>16533453</v>
      </c>
      <c r="D22" s="457">
        <f t="shared" si="2"/>
        <v>4464032.3100000005</v>
      </c>
      <c r="E22" s="457">
        <f t="shared" si="3"/>
        <v>20997485.310000002</v>
      </c>
      <c r="F22" s="457">
        <f t="shared" si="0"/>
        <v>4464032.3100000005</v>
      </c>
      <c r="G22" s="295"/>
      <c r="H22" s="295"/>
      <c r="I22" s="295"/>
      <c r="J22" s="295"/>
    </row>
    <row r="23" spans="1:11" ht="15.75" thickBot="1" x14ac:dyDescent="0.3">
      <c r="A23" t="s">
        <v>59</v>
      </c>
      <c r="B23" s="329" t="s">
        <v>611</v>
      </c>
      <c r="C23" s="462"/>
      <c r="D23" s="462"/>
      <c r="F23" s="457">
        <f t="shared" si="0"/>
        <v>0</v>
      </c>
      <c r="G23" s="295"/>
      <c r="H23" s="295" t="s">
        <v>681</v>
      </c>
      <c r="I23" s="295"/>
      <c r="J23" s="295"/>
    </row>
    <row r="24" spans="1:11" ht="15.75" thickBot="1" x14ac:dyDescent="0.3">
      <c r="A24" s="459" t="s">
        <v>60</v>
      </c>
      <c r="B24" s="459" t="s">
        <v>71</v>
      </c>
      <c r="C24" s="460">
        <f>SUM(D6:D22)</f>
        <v>12183306.66</v>
      </c>
      <c r="D24" s="460"/>
      <c r="F24" s="466">
        <f>SUM(F5:F23)</f>
        <v>12723306.66</v>
      </c>
      <c r="G24" s="295"/>
      <c r="H24" s="295"/>
      <c r="J24" s="295">
        <f>SUM(J7:J18)</f>
        <v>12331650</v>
      </c>
    </row>
    <row r="25" spans="1:11" x14ac:dyDescent="0.25">
      <c r="B25" s="431" t="s">
        <v>353</v>
      </c>
      <c r="C25" s="457">
        <f>SUM(C5:C24)</f>
        <v>59306664.659999996</v>
      </c>
    </row>
    <row r="26" spans="1:11" x14ac:dyDescent="0.25">
      <c r="C26" s="457"/>
    </row>
    <row r="27" spans="1:11" x14ac:dyDescent="0.25">
      <c r="A27" s="459" t="s">
        <v>574</v>
      </c>
      <c r="B27" s="205" t="s">
        <v>423</v>
      </c>
      <c r="C27" s="460"/>
      <c r="D27" s="459"/>
    </row>
    <row r="28" spans="1:11" x14ac:dyDescent="0.25">
      <c r="A28" t="s">
        <v>46</v>
      </c>
      <c r="B28" t="s">
        <v>587</v>
      </c>
      <c r="C28" s="457">
        <v>200000</v>
      </c>
      <c r="D28" s="457">
        <f>C28*0.27</f>
        <v>54000</v>
      </c>
    </row>
    <row r="29" spans="1:11" x14ac:dyDescent="0.25">
      <c r="A29" t="s">
        <v>47</v>
      </c>
      <c r="B29" t="s">
        <v>586</v>
      </c>
      <c r="C29" s="457">
        <v>200000</v>
      </c>
      <c r="D29" s="457">
        <f>C29*0.27</f>
        <v>54000</v>
      </c>
    </row>
    <row r="30" spans="1:11" x14ac:dyDescent="0.25">
      <c r="A30" s="428" t="s">
        <v>48</v>
      </c>
      <c r="B30" s="428" t="s">
        <v>71</v>
      </c>
      <c r="C30" s="460">
        <f>SUM(D28:D29)</f>
        <v>108000</v>
      </c>
      <c r="D30" s="427"/>
    </row>
    <row r="31" spans="1:11" x14ac:dyDescent="0.25">
      <c r="B31" t="s">
        <v>353</v>
      </c>
      <c r="C31" s="457">
        <f>SUM(C28:C30)</f>
        <v>508000</v>
      </c>
    </row>
    <row r="32" spans="1:11" x14ac:dyDescent="0.25">
      <c r="C32" s="457"/>
    </row>
    <row r="33" spans="1:11" x14ac:dyDescent="0.25">
      <c r="A33" s="459" t="s">
        <v>574</v>
      </c>
      <c r="B33" s="205" t="s">
        <v>467</v>
      </c>
      <c r="C33" s="460"/>
      <c r="D33" s="459"/>
      <c r="E33" t="s">
        <v>610</v>
      </c>
    </row>
    <row r="34" spans="1:11" x14ac:dyDescent="0.25">
      <c r="A34" t="s">
        <v>46</v>
      </c>
      <c r="B34" t="s">
        <v>621</v>
      </c>
      <c r="C34" s="457">
        <f>J34</f>
        <v>8754480</v>
      </c>
      <c r="D34" s="457">
        <f>C34*0.27</f>
        <v>2363709.6</v>
      </c>
      <c r="E34" s="457">
        <f>SUM(C34:D34)</f>
        <v>11118189.6</v>
      </c>
      <c r="G34" s="295">
        <v>90</v>
      </c>
      <c r="H34" s="295">
        <v>252</v>
      </c>
      <c r="I34" s="295">
        <f>K34</f>
        <v>386</v>
      </c>
      <c r="J34" s="295">
        <f>G34*H34*I34</f>
        <v>8754480</v>
      </c>
      <c r="K34" s="461">
        <f>ROUND((490/127*100),0)</f>
        <v>386</v>
      </c>
    </row>
    <row r="35" spans="1:11" x14ac:dyDescent="0.25">
      <c r="A35" t="s">
        <v>47</v>
      </c>
      <c r="B35" t="s">
        <v>663</v>
      </c>
      <c r="C35" s="457">
        <f>J35</f>
        <v>6469625</v>
      </c>
      <c r="D35" s="457">
        <f>C35*0.27</f>
        <v>1746798.75</v>
      </c>
      <c r="E35" s="457">
        <f>SUM(C35:D35)</f>
        <v>8216423.75</v>
      </c>
      <c r="G35" s="295">
        <v>25</v>
      </c>
      <c r="H35" s="295">
        <v>365</v>
      </c>
      <c r="I35" s="295">
        <f>K35</f>
        <v>709</v>
      </c>
      <c r="J35" s="295">
        <f>G35*H35*I35</f>
        <v>6469625</v>
      </c>
      <c r="K35" s="461">
        <f>ROUND((900/127*100),0)</f>
        <v>709</v>
      </c>
    </row>
    <row r="36" spans="1:11" x14ac:dyDescent="0.25">
      <c r="A36" t="s">
        <v>48</v>
      </c>
      <c r="B36" t="s">
        <v>609</v>
      </c>
      <c r="C36" s="457">
        <v>10000000</v>
      </c>
      <c r="D36" s="457">
        <f>C36*0.27</f>
        <v>2700000</v>
      </c>
      <c r="E36" s="457">
        <f>SUM(C36:D36)</f>
        <v>12700000</v>
      </c>
      <c r="G36" s="295">
        <v>16</v>
      </c>
      <c r="H36" s="295">
        <v>12</v>
      </c>
      <c r="I36" s="295">
        <v>69310</v>
      </c>
      <c r="J36" s="295">
        <f>G36*H36*I36</f>
        <v>13307520</v>
      </c>
      <c r="K36" s="461"/>
    </row>
    <row r="37" spans="1:11" x14ac:dyDescent="0.25">
      <c r="A37" t="s">
        <v>49</v>
      </c>
      <c r="B37" t="s">
        <v>598</v>
      </c>
      <c r="C37" s="457">
        <v>700000</v>
      </c>
      <c r="D37" s="457">
        <f>C37*0.27</f>
        <v>189000</v>
      </c>
    </row>
    <row r="38" spans="1:11" x14ac:dyDescent="0.25">
      <c r="A38" t="s">
        <v>50</v>
      </c>
      <c r="B38" s="329" t="s">
        <v>611</v>
      </c>
      <c r="C38" s="462"/>
      <c r="D38" s="462"/>
      <c r="F38" s="457">
        <f t="shared" ref="F38" si="4">D38</f>
        <v>0</v>
      </c>
      <c r="G38" s="295"/>
      <c r="H38" s="295"/>
      <c r="I38" s="295"/>
      <c r="J38" s="295"/>
    </row>
    <row r="39" spans="1:11" x14ac:dyDescent="0.25">
      <c r="A39" s="459" t="s">
        <v>51</v>
      </c>
      <c r="B39" s="459" t="s">
        <v>71</v>
      </c>
      <c r="C39" s="460">
        <f>SUM(D34:D38)</f>
        <v>6999508.3499999996</v>
      </c>
      <c r="D39" s="460"/>
    </row>
    <row r="40" spans="1:11" x14ac:dyDescent="0.25">
      <c r="B40" s="431" t="s">
        <v>353</v>
      </c>
      <c r="C40" s="457">
        <f>SUM(C34:C39)</f>
        <v>32923613.350000001</v>
      </c>
    </row>
    <row r="41" spans="1:11" x14ac:dyDescent="0.25">
      <c r="C41" s="457"/>
    </row>
    <row r="42" spans="1:11" x14ac:dyDescent="0.25">
      <c r="A42" s="459" t="s">
        <v>574</v>
      </c>
      <c r="B42" s="205" t="s">
        <v>424</v>
      </c>
      <c r="C42" s="460"/>
      <c r="D42" s="459"/>
    </row>
    <row r="43" spans="1:11" x14ac:dyDescent="0.25">
      <c r="A43" t="s">
        <v>46</v>
      </c>
      <c r="B43" t="s">
        <v>62</v>
      </c>
      <c r="C43" s="457">
        <v>500000</v>
      </c>
      <c r="D43" s="457"/>
      <c r="F43" t="s">
        <v>624</v>
      </c>
    </row>
    <row r="44" spans="1:11" x14ac:dyDescent="0.25">
      <c r="A44" t="s">
        <v>47</v>
      </c>
      <c r="B44" t="s">
        <v>580</v>
      </c>
      <c r="C44" s="457">
        <v>2000000</v>
      </c>
      <c r="D44" s="457">
        <f>C44*0.27</f>
        <v>540000</v>
      </c>
    </row>
    <row r="45" spans="1:11" x14ac:dyDescent="0.25">
      <c r="A45" t="s">
        <v>48</v>
      </c>
      <c r="B45" t="s">
        <v>582</v>
      </c>
      <c r="C45" s="457">
        <v>120000</v>
      </c>
      <c r="D45" s="457"/>
    </row>
    <row r="46" spans="1:11" x14ac:dyDescent="0.25">
      <c r="A46" s="459" t="s">
        <v>50</v>
      </c>
      <c r="B46" s="428" t="s">
        <v>71</v>
      </c>
      <c r="C46" s="460">
        <f>SUM(D43:D46)</f>
        <v>540000</v>
      </c>
      <c r="D46" s="427"/>
    </row>
    <row r="47" spans="1:11" x14ac:dyDescent="0.25">
      <c r="B47" s="431" t="s">
        <v>353</v>
      </c>
      <c r="C47" s="457">
        <f>SUM(C43:C46)</f>
        <v>3160000</v>
      </c>
      <c r="D47" s="457"/>
    </row>
    <row r="48" spans="1:11" x14ac:dyDescent="0.25">
      <c r="C48" s="457"/>
    </row>
    <row r="49" spans="1:6" x14ac:dyDescent="0.25">
      <c r="C49" s="457"/>
    </row>
    <row r="50" spans="1:6" x14ac:dyDescent="0.25">
      <c r="A50" s="428" t="s">
        <v>574</v>
      </c>
      <c r="B50" s="205" t="s">
        <v>592</v>
      </c>
      <c r="C50" s="467"/>
      <c r="D50" s="468"/>
      <c r="F50" t="s">
        <v>687</v>
      </c>
    </row>
    <row r="51" spans="1:6" x14ac:dyDescent="0.25">
      <c r="A51" t="s">
        <v>46</v>
      </c>
      <c r="B51" t="s">
        <v>615</v>
      </c>
      <c r="C51" s="457">
        <v>2200000</v>
      </c>
      <c r="D51" s="457">
        <f>C51*0.27</f>
        <v>594000</v>
      </c>
      <c r="F51" s="457"/>
    </row>
    <row r="52" spans="1:6" x14ac:dyDescent="0.25">
      <c r="A52" t="s">
        <v>47</v>
      </c>
      <c r="B52" t="s">
        <v>593</v>
      </c>
      <c r="C52" s="457">
        <v>1000000</v>
      </c>
      <c r="D52" s="457">
        <f>C52*0.27</f>
        <v>270000</v>
      </c>
      <c r="F52" s="457"/>
    </row>
    <row r="53" spans="1:6" x14ac:dyDescent="0.25">
      <c r="A53" t="s">
        <v>48</v>
      </c>
      <c r="B53" t="s">
        <v>594</v>
      </c>
      <c r="C53" s="457">
        <v>300000</v>
      </c>
      <c r="D53" s="457">
        <f>C53*0.27</f>
        <v>81000</v>
      </c>
      <c r="F53" s="457"/>
    </row>
    <row r="54" spans="1:6" x14ac:dyDescent="0.25">
      <c r="A54" t="s">
        <v>49</v>
      </c>
      <c r="B54" t="s">
        <v>585</v>
      </c>
      <c r="C54" s="457">
        <v>400000</v>
      </c>
      <c r="D54" s="457">
        <f>C54*0.27</f>
        <v>108000</v>
      </c>
    </row>
    <row r="55" spans="1:6" x14ac:dyDescent="0.25">
      <c r="A55" t="s">
        <v>50</v>
      </c>
      <c r="B55" t="s">
        <v>578</v>
      </c>
      <c r="C55" s="457">
        <v>1200000</v>
      </c>
      <c r="F55" s="457">
        <f t="shared" ref="F55:F71" si="5">D55</f>
        <v>0</v>
      </c>
    </row>
    <row r="56" spans="1:6" x14ac:dyDescent="0.25">
      <c r="A56" t="s">
        <v>51</v>
      </c>
      <c r="B56" t="s">
        <v>581</v>
      </c>
      <c r="C56" s="457">
        <v>500000</v>
      </c>
      <c r="D56" s="457">
        <f>C56*0.27</f>
        <v>135000</v>
      </c>
      <c r="F56" s="457">
        <f t="shared" si="5"/>
        <v>135000</v>
      </c>
    </row>
    <row r="57" spans="1:6" x14ac:dyDescent="0.25">
      <c r="A57" t="s">
        <v>52</v>
      </c>
      <c r="B57" t="s">
        <v>665</v>
      </c>
      <c r="C57" s="457">
        <v>420000</v>
      </c>
      <c r="D57" s="457">
        <f>C57*0.27</f>
        <v>113400.00000000001</v>
      </c>
      <c r="F57" s="457">
        <f t="shared" si="5"/>
        <v>113400.00000000001</v>
      </c>
    </row>
    <row r="58" spans="1:6" x14ac:dyDescent="0.25">
      <c r="A58" t="s">
        <v>53</v>
      </c>
      <c r="B58" t="s">
        <v>688</v>
      </c>
      <c r="C58" s="457">
        <v>0</v>
      </c>
      <c r="D58" s="457">
        <f>C58*0.27</f>
        <v>0</v>
      </c>
      <c r="F58" s="457">
        <f t="shared" si="5"/>
        <v>0</v>
      </c>
    </row>
    <row r="59" spans="1:6" x14ac:dyDescent="0.25">
      <c r="A59" t="s">
        <v>54</v>
      </c>
      <c r="B59" t="s">
        <v>579</v>
      </c>
      <c r="C59" s="457">
        <v>14000</v>
      </c>
      <c r="F59" s="457">
        <f t="shared" si="5"/>
        <v>0</v>
      </c>
    </row>
    <row r="60" spans="1:6" x14ac:dyDescent="0.25">
      <c r="A60" t="s">
        <v>55</v>
      </c>
      <c r="B60" t="s">
        <v>583</v>
      </c>
      <c r="C60" s="457">
        <v>200000</v>
      </c>
      <c r="D60" s="457">
        <f t="shared" ref="D60:D68" si="6">C60*0.27</f>
        <v>54000</v>
      </c>
      <c r="F60" s="457"/>
    </row>
    <row r="61" spans="1:6" x14ac:dyDescent="0.25">
      <c r="A61" t="s">
        <v>56</v>
      </c>
      <c r="B61" t="s">
        <v>584</v>
      </c>
      <c r="C61" s="457">
        <v>3500000</v>
      </c>
      <c r="D61" s="457">
        <f t="shared" si="6"/>
        <v>945000.00000000012</v>
      </c>
      <c r="F61" s="457"/>
    </row>
    <row r="62" spans="1:6" x14ac:dyDescent="0.25">
      <c r="A62" t="s">
        <v>57</v>
      </c>
      <c r="B62" t="s">
        <v>595</v>
      </c>
      <c r="C62" s="457">
        <v>2000000</v>
      </c>
      <c r="D62" s="457">
        <f t="shared" si="6"/>
        <v>540000</v>
      </c>
      <c r="F62" s="457"/>
    </row>
    <row r="63" spans="1:6" x14ac:dyDescent="0.25">
      <c r="A63" t="s">
        <v>58</v>
      </c>
      <c r="B63" t="s">
        <v>627</v>
      </c>
      <c r="C63" s="457">
        <v>2500000</v>
      </c>
      <c r="D63" s="457">
        <f t="shared" si="6"/>
        <v>675000</v>
      </c>
      <c r="F63" s="457"/>
    </row>
    <row r="64" spans="1:6" x14ac:dyDescent="0.25">
      <c r="A64" t="s">
        <v>59</v>
      </c>
      <c r="B64" t="s">
        <v>588</v>
      </c>
      <c r="C64" s="457">
        <v>250000</v>
      </c>
      <c r="D64" s="457">
        <f t="shared" si="6"/>
        <v>67500</v>
      </c>
      <c r="F64" s="457"/>
    </row>
    <row r="65" spans="1:6" x14ac:dyDescent="0.25">
      <c r="A65" t="s">
        <v>60</v>
      </c>
      <c r="B65" t="s">
        <v>597</v>
      </c>
      <c r="C65" s="457">
        <v>1800000</v>
      </c>
      <c r="D65" s="457">
        <f t="shared" si="6"/>
        <v>486000.00000000006</v>
      </c>
      <c r="F65" s="457"/>
    </row>
    <row r="66" spans="1:6" x14ac:dyDescent="0.25">
      <c r="A66" t="s">
        <v>61</v>
      </c>
      <c r="B66" t="s">
        <v>666</v>
      </c>
      <c r="C66" s="457">
        <v>1000000</v>
      </c>
      <c r="D66" s="457">
        <f t="shared" si="6"/>
        <v>270000</v>
      </c>
      <c r="F66" s="457"/>
    </row>
    <row r="67" spans="1:6" x14ac:dyDescent="0.25">
      <c r="A67" t="s">
        <v>127</v>
      </c>
      <c r="B67" t="s">
        <v>667</v>
      </c>
      <c r="C67" s="457">
        <v>2000000</v>
      </c>
      <c r="D67" s="457">
        <f t="shared" ref="D67" si="7">C67*0.27</f>
        <v>540000</v>
      </c>
      <c r="F67" s="457" t="s">
        <v>686</v>
      </c>
    </row>
    <row r="68" spans="1:6" ht="15.75" thickBot="1" x14ac:dyDescent="0.3">
      <c r="A68" t="s">
        <v>129</v>
      </c>
      <c r="B68" t="s">
        <v>596</v>
      </c>
      <c r="C68" s="457">
        <v>300000</v>
      </c>
      <c r="D68" s="457">
        <f t="shared" si="6"/>
        <v>81000</v>
      </c>
      <c r="F68" s="457"/>
    </row>
    <row r="69" spans="1:6" ht="15.75" thickBot="1" x14ac:dyDescent="0.3">
      <c r="A69" s="459" t="s">
        <v>130</v>
      </c>
      <c r="B69" s="428" t="s">
        <v>71</v>
      </c>
      <c r="C69" s="460">
        <f>SUM(D51:D68)</f>
        <v>4959900</v>
      </c>
      <c r="D69" s="427"/>
      <c r="F69" s="466">
        <f>SUM(F51:F68)</f>
        <v>248400</v>
      </c>
    </row>
    <row r="70" spans="1:6" x14ac:dyDescent="0.25">
      <c r="B70" s="431" t="s">
        <v>353</v>
      </c>
      <c r="C70" s="457">
        <f>SUM(C51:C69)</f>
        <v>24543900</v>
      </c>
      <c r="F70" s="457">
        <f t="shared" si="5"/>
        <v>0</v>
      </c>
    </row>
    <row r="71" spans="1:6" x14ac:dyDescent="0.25">
      <c r="F71" s="457">
        <f t="shared" si="5"/>
        <v>0</v>
      </c>
    </row>
    <row r="72" spans="1:6" ht="15.75" thickBot="1" x14ac:dyDescent="0.3">
      <c r="A72" s="470"/>
      <c r="B72" s="471" t="s">
        <v>590</v>
      </c>
      <c r="C72" s="472">
        <f>SUM(C25,C31,C40,C47,C70)</f>
        <v>120442178.00999999</v>
      </c>
      <c r="D72" s="47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&amp;R2./A. sz. melléklet / &amp;P.oldal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34" sqref="F34"/>
    </sheetView>
  </sheetViews>
  <sheetFormatPr defaultRowHeight="15" x14ac:dyDescent="0.25"/>
  <cols>
    <col min="1" max="1" width="6.42578125" customWidth="1"/>
    <col min="2" max="2" width="40.28515625" customWidth="1"/>
    <col min="3" max="3" width="15.5703125" customWidth="1"/>
    <col min="4" max="4" width="20" customWidth="1"/>
    <col min="6" max="6" width="10.85546875" bestFit="1" customWidth="1"/>
  </cols>
  <sheetData>
    <row r="1" spans="1:6" ht="18.75" x14ac:dyDescent="0.3">
      <c r="A1" s="617" t="s">
        <v>437</v>
      </c>
      <c r="B1" s="617"/>
      <c r="C1" s="617"/>
      <c r="D1" s="617"/>
    </row>
    <row r="2" spans="1:6" ht="15.75" x14ac:dyDescent="0.25">
      <c r="A2" s="57"/>
      <c r="B2" s="58"/>
      <c r="C2" s="58"/>
      <c r="D2" s="59" t="s">
        <v>37</v>
      </c>
    </row>
    <row r="3" spans="1:6" ht="15.75" x14ac:dyDescent="0.25">
      <c r="A3" s="55"/>
      <c r="B3" s="55"/>
      <c r="C3" s="55"/>
      <c r="D3" s="55"/>
    </row>
    <row r="4" spans="1:6" ht="15.75" x14ac:dyDescent="0.25">
      <c r="A4" s="618" t="s">
        <v>97</v>
      </c>
      <c r="B4" s="618"/>
      <c r="C4" s="256" t="s">
        <v>119</v>
      </c>
      <c r="D4" s="60" t="s">
        <v>119</v>
      </c>
    </row>
    <row r="5" spans="1:6" ht="15.75" x14ac:dyDescent="0.25">
      <c r="A5" s="56"/>
      <c r="B5" s="56"/>
      <c r="C5" s="287" t="s">
        <v>471</v>
      </c>
      <c r="D5" s="287" t="s">
        <v>438</v>
      </c>
    </row>
    <row r="6" spans="1:6" ht="15.75" x14ac:dyDescent="0.25">
      <c r="A6" s="616" t="s">
        <v>98</v>
      </c>
      <c r="B6" s="616"/>
      <c r="C6" s="255"/>
      <c r="D6" s="61"/>
    </row>
    <row r="7" spans="1:6" ht="15.75" x14ac:dyDescent="0.25">
      <c r="A7" s="56" t="s">
        <v>99</v>
      </c>
      <c r="B7" s="55"/>
      <c r="C7" s="55"/>
      <c r="D7" s="61"/>
    </row>
    <row r="8" spans="1:6" ht="15.75" x14ac:dyDescent="0.25">
      <c r="A8" s="56"/>
      <c r="B8" s="62" t="s">
        <v>100</v>
      </c>
      <c r="C8" s="357">
        <v>93224000</v>
      </c>
      <c r="D8" s="359">
        <f>'4.'!I7</f>
        <v>100125000</v>
      </c>
      <c r="F8" s="457">
        <f>SUM(D8:D9)</f>
        <v>126687000</v>
      </c>
    </row>
    <row r="9" spans="1:6" ht="15.75" x14ac:dyDescent="0.25">
      <c r="A9" s="56"/>
      <c r="B9" s="56" t="s">
        <v>101</v>
      </c>
      <c r="C9" s="357">
        <v>25171000</v>
      </c>
      <c r="D9" s="359">
        <f>'4.'!I8</f>
        <v>26562000</v>
      </c>
    </row>
    <row r="10" spans="1:6" ht="15.75" x14ac:dyDescent="0.25">
      <c r="A10" s="56"/>
      <c r="B10" s="56" t="s">
        <v>102</v>
      </c>
      <c r="C10" s="357">
        <v>160478000</v>
      </c>
      <c r="D10" s="359">
        <f>'4.'!I9</f>
        <v>224655617.00999999</v>
      </c>
    </row>
    <row r="11" spans="1:6" ht="15.75" x14ac:dyDescent="0.25">
      <c r="A11" s="56"/>
      <c r="B11" s="56" t="s">
        <v>103</v>
      </c>
      <c r="C11" s="357">
        <v>197587000</v>
      </c>
      <c r="D11" s="359">
        <f>'4.'!I10</f>
        <v>34451722</v>
      </c>
    </row>
    <row r="12" spans="1:6" ht="15.75" x14ac:dyDescent="0.25">
      <c r="A12" s="56"/>
      <c r="B12" s="63" t="s">
        <v>104</v>
      </c>
      <c r="C12" s="360">
        <v>52692000</v>
      </c>
      <c r="D12" s="359">
        <f>'4.'!I11</f>
        <v>38912000</v>
      </c>
    </row>
    <row r="13" spans="1:6" ht="15.75" x14ac:dyDescent="0.25">
      <c r="A13" s="56"/>
      <c r="B13" s="55" t="s">
        <v>105</v>
      </c>
      <c r="C13" s="360"/>
      <c r="D13" s="359">
        <f>'4.'!I12</f>
        <v>0</v>
      </c>
    </row>
    <row r="14" spans="1:6" ht="15.75" x14ac:dyDescent="0.25">
      <c r="A14" s="56"/>
      <c r="B14" s="56" t="s">
        <v>106</v>
      </c>
      <c r="C14" s="357">
        <v>1000000</v>
      </c>
      <c r="D14" s="359">
        <f>'4.'!I14</f>
        <v>6399287</v>
      </c>
    </row>
    <row r="15" spans="1:6" ht="15.75" x14ac:dyDescent="0.25">
      <c r="A15" s="56"/>
      <c r="B15" s="56" t="s">
        <v>107</v>
      </c>
      <c r="C15" s="357"/>
      <c r="D15" s="359"/>
    </row>
    <row r="16" spans="1:6" ht="15.75" x14ac:dyDescent="0.25">
      <c r="A16" s="64"/>
      <c r="B16" s="64" t="s">
        <v>108</v>
      </c>
      <c r="C16" s="361"/>
      <c r="D16" s="362">
        <f>'4.'!I15</f>
        <v>800000</v>
      </c>
    </row>
    <row r="17" spans="1:4" ht="15.75" x14ac:dyDescent="0.25">
      <c r="A17" s="56"/>
      <c r="B17" s="65"/>
      <c r="C17" s="363"/>
      <c r="D17" s="359"/>
    </row>
    <row r="18" spans="1:4" ht="15.75" x14ac:dyDescent="0.25">
      <c r="A18" s="619" t="s">
        <v>109</v>
      </c>
      <c r="B18" s="619"/>
      <c r="C18" s="365">
        <f>SUM(C8:C17)</f>
        <v>530152000</v>
      </c>
      <c r="D18" s="365">
        <f>SUM(D8:D17)</f>
        <v>431905626.00999999</v>
      </c>
    </row>
    <row r="19" spans="1:4" ht="15.75" x14ac:dyDescent="0.25">
      <c r="A19" s="56"/>
      <c r="B19" s="56"/>
      <c r="C19" s="56"/>
      <c r="D19" s="61"/>
    </row>
    <row r="20" spans="1:4" ht="15.75" x14ac:dyDescent="0.25">
      <c r="A20" s="616" t="s">
        <v>110</v>
      </c>
      <c r="B20" s="616"/>
      <c r="C20" s="255"/>
      <c r="D20" s="61"/>
    </row>
    <row r="21" spans="1:4" ht="15.75" x14ac:dyDescent="0.25">
      <c r="A21" s="56" t="s">
        <v>99</v>
      </c>
      <c r="B21" s="55"/>
      <c r="C21" s="55"/>
      <c r="D21" s="61"/>
    </row>
    <row r="22" spans="1:4" ht="15.75" x14ac:dyDescent="0.25">
      <c r="A22" s="56"/>
      <c r="B22" s="62" t="s">
        <v>111</v>
      </c>
      <c r="C22" s="357">
        <v>79342000</v>
      </c>
      <c r="D22" s="366">
        <f>'7.'!C27</f>
        <v>59756000</v>
      </c>
    </row>
    <row r="23" spans="1:4" ht="15.75" x14ac:dyDescent="0.25">
      <c r="A23" s="56"/>
      <c r="B23" s="62" t="s">
        <v>112</v>
      </c>
      <c r="C23" s="357"/>
      <c r="D23" s="366">
        <f>'7.'!C49</f>
        <v>0</v>
      </c>
    </row>
    <row r="24" spans="1:4" ht="15.75" x14ac:dyDescent="0.25">
      <c r="A24" s="64"/>
      <c r="B24" s="66" t="s">
        <v>113</v>
      </c>
      <c r="C24" s="358"/>
      <c r="D24" s="367">
        <f>'7.'!C56</f>
        <v>3254000</v>
      </c>
    </row>
    <row r="25" spans="1:4" ht="15.75" x14ac:dyDescent="0.25">
      <c r="A25" s="620" t="s">
        <v>114</v>
      </c>
      <c r="B25" s="620"/>
      <c r="C25" s="364">
        <f>SUM(C22:C24)</f>
        <v>79342000</v>
      </c>
      <c r="D25" s="368">
        <f>SUM(D22:D24)</f>
        <v>63010000</v>
      </c>
    </row>
    <row r="26" spans="1:4" ht="15.75" x14ac:dyDescent="0.25">
      <c r="A26" s="68"/>
      <c r="B26" s="68"/>
      <c r="C26" s="68"/>
      <c r="D26" s="67"/>
    </row>
    <row r="27" spans="1:4" ht="15.75" x14ac:dyDescent="0.25">
      <c r="A27" s="615" t="s">
        <v>115</v>
      </c>
      <c r="B27" s="615"/>
      <c r="C27" s="369">
        <f>SUM(C18,C25)</f>
        <v>609494000</v>
      </c>
      <c r="D27" s="369">
        <f>SUM(D18,D25)</f>
        <v>494915626.00999999</v>
      </c>
    </row>
    <row r="28" spans="1:4" ht="15.75" x14ac:dyDescent="0.25">
      <c r="A28" s="56"/>
      <c r="B28" s="62"/>
      <c r="C28" s="359"/>
      <c r="D28" s="359"/>
    </row>
    <row r="29" spans="1:4" ht="15.75" x14ac:dyDescent="0.25">
      <c r="A29" s="616" t="s">
        <v>116</v>
      </c>
      <c r="B29" s="616"/>
      <c r="C29" s="370"/>
      <c r="D29" s="365"/>
    </row>
    <row r="30" spans="1:4" ht="15.75" x14ac:dyDescent="0.25">
      <c r="A30" s="69"/>
      <c r="B30" s="69"/>
      <c r="C30" s="370"/>
      <c r="D30" s="365"/>
    </row>
    <row r="31" spans="1:4" ht="15.75" x14ac:dyDescent="0.25">
      <c r="A31" s="616" t="s">
        <v>117</v>
      </c>
      <c r="B31" s="616"/>
      <c r="C31" s="370"/>
      <c r="D31" s="365"/>
    </row>
    <row r="32" spans="1:4" ht="15.75" x14ac:dyDescent="0.25">
      <c r="A32" s="70"/>
      <c r="B32" s="71"/>
      <c r="C32" s="371"/>
      <c r="D32" s="365"/>
    </row>
    <row r="33" spans="1:6" ht="15.75" x14ac:dyDescent="0.25">
      <c r="A33" s="56"/>
      <c r="B33" s="56"/>
      <c r="C33" s="359"/>
      <c r="D33" s="359"/>
    </row>
    <row r="34" spans="1:6" ht="17.25" thickBot="1" x14ac:dyDescent="0.3">
      <c r="A34" s="72"/>
      <c r="B34" s="73" t="s">
        <v>118</v>
      </c>
      <c r="C34" s="372">
        <f>SUM(C27,C29,C31)</f>
        <v>609494000</v>
      </c>
      <c r="D34" s="372">
        <f>SUM(D27,D29,D31)</f>
        <v>494915626.00999999</v>
      </c>
      <c r="F34" s="295">
        <f>D34</f>
        <v>494915626.00999999</v>
      </c>
    </row>
    <row r="35" spans="1:6" ht="16.5" thickTop="1" x14ac:dyDescent="0.25">
      <c r="A35" s="56"/>
      <c r="B35" s="56"/>
      <c r="C35" s="56"/>
      <c r="D35" s="61"/>
    </row>
  </sheetData>
  <mergeCells count="9">
    <mergeCell ref="A27:B27"/>
    <mergeCell ref="A29:B29"/>
    <mergeCell ref="A31:B31"/>
    <mergeCell ref="A1:D1"/>
    <mergeCell ref="A4:B4"/>
    <mergeCell ref="A6:B6"/>
    <mergeCell ref="A18:B18"/>
    <mergeCell ref="A20:B20"/>
    <mergeCell ref="A25:B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&amp;R3. sz. melléklet / &amp;P.oldal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7" workbookViewId="0">
      <selection activeCell="N14" sqref="N14"/>
    </sheetView>
  </sheetViews>
  <sheetFormatPr defaultRowHeight="15" x14ac:dyDescent="0.25"/>
  <cols>
    <col min="1" max="1" width="4.7109375" customWidth="1"/>
    <col min="2" max="2" width="35" customWidth="1"/>
    <col min="3" max="3" width="13" customWidth="1"/>
    <col min="4" max="4" width="13.5703125" customWidth="1"/>
    <col min="5" max="6" width="13" customWidth="1"/>
    <col min="7" max="7" width="14.5703125" customWidth="1"/>
    <col min="8" max="8" width="13.85546875" customWidth="1"/>
    <col min="9" max="9" width="15.140625" customWidth="1"/>
  </cols>
  <sheetData>
    <row r="1" spans="1:9" ht="18.75" x14ac:dyDescent="0.3">
      <c r="A1" s="32"/>
      <c r="B1" s="32" t="s">
        <v>465</v>
      </c>
      <c r="C1" s="26"/>
      <c r="D1" s="26"/>
      <c r="E1" s="26"/>
      <c r="F1" s="26"/>
      <c r="G1" s="26"/>
      <c r="H1" s="26"/>
      <c r="I1" s="74"/>
    </row>
    <row r="2" spans="1:9" ht="15.75" x14ac:dyDescent="0.25">
      <c r="A2" s="29"/>
      <c r="B2" s="12"/>
      <c r="C2" s="26"/>
      <c r="D2" s="26"/>
      <c r="E2" s="26"/>
      <c r="F2" s="26"/>
      <c r="G2" s="26"/>
      <c r="H2" s="26"/>
      <c r="I2" s="26" t="s">
        <v>37</v>
      </c>
    </row>
    <row r="3" spans="1:9" ht="63.75" thickBot="1" x14ac:dyDescent="0.3">
      <c r="A3" s="75"/>
      <c r="B3" s="76" t="s">
        <v>97</v>
      </c>
      <c r="C3" s="33" t="s">
        <v>422</v>
      </c>
      <c r="D3" s="54" t="s">
        <v>423</v>
      </c>
      <c r="E3" s="54" t="s">
        <v>171</v>
      </c>
      <c r="F3" s="54" t="s">
        <v>433</v>
      </c>
      <c r="G3" s="33" t="s">
        <v>425</v>
      </c>
      <c r="H3" s="94" t="s">
        <v>96</v>
      </c>
      <c r="I3" s="34" t="s">
        <v>45</v>
      </c>
    </row>
    <row r="4" spans="1:9" ht="17.25" thickTop="1" thickBot="1" x14ac:dyDescent="0.3">
      <c r="A4" s="91"/>
      <c r="B4" s="92"/>
      <c r="C4" s="93" t="s">
        <v>46</v>
      </c>
      <c r="D4" s="259">
        <v>2</v>
      </c>
      <c r="E4" s="260">
        <v>3</v>
      </c>
      <c r="F4" s="260">
        <v>4</v>
      </c>
      <c r="G4" s="260">
        <v>5</v>
      </c>
      <c r="H4" s="260">
        <v>6</v>
      </c>
      <c r="I4" s="260">
        <v>7</v>
      </c>
    </row>
    <row r="5" spans="1:9" ht="16.5" thickTop="1" x14ac:dyDescent="0.25">
      <c r="A5" s="84" t="s">
        <v>46</v>
      </c>
      <c r="B5" s="85" t="s">
        <v>98</v>
      </c>
      <c r="C5" s="274"/>
      <c r="D5" s="274"/>
      <c r="E5" s="274"/>
      <c r="F5" s="274"/>
      <c r="G5" s="274"/>
      <c r="H5" s="274"/>
      <c r="I5" s="274"/>
    </row>
    <row r="6" spans="1:9" ht="15.75" x14ac:dyDescent="0.25">
      <c r="A6" s="77" t="s">
        <v>47</v>
      </c>
      <c r="B6" s="78" t="s">
        <v>99</v>
      </c>
      <c r="C6" s="346"/>
      <c r="D6" s="346"/>
      <c r="E6" s="346"/>
      <c r="F6" s="346"/>
      <c r="G6" s="346"/>
      <c r="H6" s="346"/>
      <c r="I6" s="346"/>
    </row>
    <row r="7" spans="1:9" ht="15.75" x14ac:dyDescent="0.25">
      <c r="A7" s="77" t="s">
        <v>48</v>
      </c>
      <c r="B7" s="79" t="s">
        <v>100</v>
      </c>
      <c r="C7" s="346">
        <f>'6_B_Konyha'!C15</f>
        <v>8569000</v>
      </c>
      <c r="D7" s="346">
        <f>'6_A_könyvtár'!C13</f>
        <v>4217000</v>
      </c>
      <c r="E7" s="346">
        <f>'6_C_Gondkp'!C16</f>
        <v>19713000</v>
      </c>
      <c r="F7" s="346">
        <f>'6_D_Ovoda'!C15</f>
        <v>9575000</v>
      </c>
      <c r="G7" s="346">
        <f>'6.'!C22</f>
        <v>33765000</v>
      </c>
      <c r="H7" s="346">
        <f>'5.'!C12</f>
        <v>24286000</v>
      </c>
      <c r="I7" s="347">
        <f>SUM(C7:H7)</f>
        <v>100125000</v>
      </c>
    </row>
    <row r="8" spans="1:9" ht="15.75" x14ac:dyDescent="0.25">
      <c r="A8" s="77" t="s">
        <v>49</v>
      </c>
      <c r="B8" s="78" t="s">
        <v>120</v>
      </c>
      <c r="C8" s="346">
        <f>'6_B_Konyha'!C18</f>
        <v>2314000</v>
      </c>
      <c r="D8" s="346">
        <f>'6_A_könyvtár'!C17</f>
        <v>1139000</v>
      </c>
      <c r="E8" s="346">
        <f>'6_C_Gondkp'!C20</f>
        <v>5296000</v>
      </c>
      <c r="F8" s="346">
        <f>'6_D_Ovoda'!C19</f>
        <v>2585000</v>
      </c>
      <c r="G8" s="346">
        <f>'6.'!C27</f>
        <v>8671000</v>
      </c>
      <c r="H8" s="346">
        <f>'5.'!C15</f>
        <v>6557000</v>
      </c>
      <c r="I8" s="347">
        <f t="shared" ref="I8:I15" si="0">SUM(C8:H8)</f>
        <v>26562000</v>
      </c>
    </row>
    <row r="9" spans="1:9" ht="15.75" x14ac:dyDescent="0.25">
      <c r="A9" s="77" t="s">
        <v>50</v>
      </c>
      <c r="B9" s="78" t="s">
        <v>121</v>
      </c>
      <c r="C9" s="346">
        <f>'6_B_Konyha'!C45</f>
        <v>52734306.659999996</v>
      </c>
      <c r="D9" s="346">
        <f>'6_A_könyvtár'!C45</f>
        <v>5990000</v>
      </c>
      <c r="E9" s="346">
        <f>'6_C_Gondkp'!C48</f>
        <v>29814508.350000001</v>
      </c>
      <c r="F9" s="346">
        <f>'6_D_Ovoda'!C45</f>
        <v>9265266</v>
      </c>
      <c r="G9" s="346">
        <f>'6.'!C63</f>
        <v>12194000</v>
      </c>
      <c r="H9" s="346">
        <f>'5.'!C57</f>
        <v>114657536</v>
      </c>
      <c r="I9" s="347">
        <f t="shared" si="0"/>
        <v>224655617.00999999</v>
      </c>
    </row>
    <row r="10" spans="1:9" ht="15.75" x14ac:dyDescent="0.25">
      <c r="A10" s="77" t="s">
        <v>51</v>
      </c>
      <c r="B10" s="78" t="s">
        <v>122</v>
      </c>
      <c r="C10" s="346"/>
      <c r="D10" s="346"/>
      <c r="E10" s="346"/>
      <c r="F10" s="346"/>
      <c r="G10" s="346"/>
      <c r="H10" s="346">
        <f>'5.'!C83</f>
        <v>34451722</v>
      </c>
      <c r="I10" s="347">
        <f t="shared" si="0"/>
        <v>34451722</v>
      </c>
    </row>
    <row r="11" spans="1:9" ht="15.75" x14ac:dyDescent="0.25">
      <c r="A11" s="77" t="s">
        <v>52</v>
      </c>
      <c r="B11" s="78" t="s">
        <v>151</v>
      </c>
      <c r="C11" s="346"/>
      <c r="D11" s="346"/>
      <c r="E11" s="346"/>
      <c r="F11" s="346"/>
      <c r="G11" s="346">
        <f>'6.'!C73</f>
        <v>36500000</v>
      </c>
      <c r="H11" s="346">
        <f>'5.'!C94</f>
        <v>2412000</v>
      </c>
      <c r="I11" s="347">
        <f t="shared" si="0"/>
        <v>38912000</v>
      </c>
    </row>
    <row r="12" spans="1:9" ht="15.75" x14ac:dyDescent="0.25">
      <c r="A12" s="77" t="s">
        <v>53</v>
      </c>
      <c r="B12" s="78" t="s">
        <v>123</v>
      </c>
      <c r="C12" s="346"/>
      <c r="D12" s="346"/>
      <c r="E12" s="346"/>
      <c r="F12" s="346"/>
      <c r="G12" s="346"/>
      <c r="H12" s="346"/>
      <c r="I12" s="347">
        <f t="shared" si="0"/>
        <v>0</v>
      </c>
    </row>
    <row r="13" spans="1:9" ht="15.75" x14ac:dyDescent="0.25">
      <c r="A13" s="77" t="s">
        <v>54</v>
      </c>
      <c r="B13" s="78" t="s">
        <v>124</v>
      </c>
      <c r="C13" s="346"/>
      <c r="D13" s="346"/>
      <c r="E13" s="346"/>
      <c r="F13" s="346"/>
      <c r="G13" s="346"/>
      <c r="H13" s="346">
        <f t="shared" ref="H13" si="1">SUM(E13:G13)</f>
        <v>0</v>
      </c>
      <c r="I13" s="347">
        <f t="shared" si="0"/>
        <v>0</v>
      </c>
    </row>
    <row r="14" spans="1:9" ht="15.75" x14ac:dyDescent="0.25">
      <c r="A14" s="77" t="s">
        <v>55</v>
      </c>
      <c r="B14" s="78" t="s">
        <v>106</v>
      </c>
      <c r="C14" s="346"/>
      <c r="D14" s="346"/>
      <c r="E14" s="346"/>
      <c r="F14" s="346"/>
      <c r="G14" s="346"/>
      <c r="H14" s="346">
        <f>'5.'!C119</f>
        <v>6399287</v>
      </c>
      <c r="I14" s="347">
        <f t="shared" si="0"/>
        <v>6399287</v>
      </c>
    </row>
    <row r="15" spans="1:9" ht="16.5" thickBot="1" x14ac:dyDescent="0.3">
      <c r="A15" s="80" t="s">
        <v>56</v>
      </c>
      <c r="B15" s="81" t="s">
        <v>125</v>
      </c>
      <c r="C15" s="348"/>
      <c r="D15" s="348"/>
      <c r="E15" s="348"/>
      <c r="F15" s="348"/>
      <c r="G15" s="348"/>
      <c r="H15" s="348">
        <f>SUM('5.'!C122:C123)</f>
        <v>800000</v>
      </c>
      <c r="I15" s="347">
        <f t="shared" si="0"/>
        <v>800000</v>
      </c>
    </row>
    <row r="16" spans="1:9" ht="16.5" thickBot="1" x14ac:dyDescent="0.3">
      <c r="A16" s="82" t="s">
        <v>57</v>
      </c>
      <c r="B16" s="83" t="s">
        <v>126</v>
      </c>
      <c r="C16" s="349">
        <f t="shared" ref="C16:I16" si="2">SUM(C7:C15)</f>
        <v>63617306.659999996</v>
      </c>
      <c r="D16" s="349">
        <f t="shared" si="2"/>
        <v>11346000</v>
      </c>
      <c r="E16" s="349">
        <f t="shared" si="2"/>
        <v>54823508.350000001</v>
      </c>
      <c r="F16" s="349">
        <f t="shared" si="2"/>
        <v>21425266</v>
      </c>
      <c r="G16" s="349">
        <f t="shared" si="2"/>
        <v>91130000</v>
      </c>
      <c r="H16" s="349">
        <f t="shared" si="2"/>
        <v>189563545</v>
      </c>
      <c r="I16" s="350">
        <f t="shared" si="2"/>
        <v>431905626.00999999</v>
      </c>
    </row>
    <row r="17" spans="1:9" ht="15.75" x14ac:dyDescent="0.25">
      <c r="A17" s="84" t="s">
        <v>58</v>
      </c>
      <c r="B17" s="85" t="s">
        <v>110</v>
      </c>
      <c r="C17" s="351"/>
      <c r="D17" s="351"/>
      <c r="E17" s="351"/>
      <c r="F17" s="351"/>
      <c r="G17" s="351"/>
      <c r="H17" s="351"/>
      <c r="I17" s="352">
        <f>SUM(C17:H17)</f>
        <v>0</v>
      </c>
    </row>
    <row r="18" spans="1:9" ht="15.75" x14ac:dyDescent="0.25">
      <c r="A18" s="77" t="s">
        <v>59</v>
      </c>
      <c r="B18" s="78" t="s">
        <v>99</v>
      </c>
      <c r="C18" s="346"/>
      <c r="D18" s="346">
        <f>SUM(C18:C18)</f>
        <v>0</v>
      </c>
      <c r="E18" s="346"/>
      <c r="F18" s="346"/>
      <c r="G18" s="346"/>
      <c r="H18" s="346"/>
      <c r="I18" s="352">
        <f t="shared" ref="I18:I24" si="3">SUM(C18:H18)</f>
        <v>0</v>
      </c>
    </row>
    <row r="19" spans="1:9" ht="15.75" x14ac:dyDescent="0.25">
      <c r="A19" s="77" t="s">
        <v>60</v>
      </c>
      <c r="B19" s="79" t="s">
        <v>111</v>
      </c>
      <c r="C19" s="86"/>
      <c r="D19" s="346"/>
      <c r="E19" s="86"/>
      <c r="F19" s="86"/>
      <c r="G19" s="86"/>
      <c r="H19" s="346">
        <f>'5.'!C103</f>
        <v>59756000</v>
      </c>
      <c r="I19" s="352">
        <f t="shared" si="3"/>
        <v>59756000</v>
      </c>
    </row>
    <row r="20" spans="1:9" ht="15.75" x14ac:dyDescent="0.25">
      <c r="A20" s="77" t="s">
        <v>61</v>
      </c>
      <c r="B20" s="79" t="s">
        <v>112</v>
      </c>
      <c r="C20" s="86"/>
      <c r="D20" s="346"/>
      <c r="E20" s="346"/>
      <c r="F20" s="346"/>
      <c r="G20" s="346"/>
      <c r="H20" s="346">
        <f>'5.'!C107</f>
        <v>0</v>
      </c>
      <c r="I20" s="352">
        <f t="shared" si="3"/>
        <v>0</v>
      </c>
    </row>
    <row r="21" spans="1:9" ht="15.75" x14ac:dyDescent="0.25">
      <c r="A21" s="77" t="s">
        <v>127</v>
      </c>
      <c r="B21" s="79" t="s">
        <v>128</v>
      </c>
      <c r="C21" s="86"/>
      <c r="D21" s="346"/>
      <c r="E21" s="86"/>
      <c r="F21" s="86"/>
      <c r="G21" s="86"/>
      <c r="H21" s="346"/>
      <c r="I21" s="352">
        <f t="shared" si="3"/>
        <v>0</v>
      </c>
    </row>
    <row r="22" spans="1:9" ht="15.75" x14ac:dyDescent="0.25">
      <c r="A22" s="77" t="s">
        <v>129</v>
      </c>
      <c r="B22" s="79" t="s">
        <v>122</v>
      </c>
      <c r="C22" s="86"/>
      <c r="D22" s="346"/>
      <c r="E22" s="86"/>
      <c r="F22" s="86"/>
      <c r="G22" s="86"/>
      <c r="H22" s="346">
        <f>'5.'!C110</f>
        <v>3254000</v>
      </c>
      <c r="I22" s="352">
        <f t="shared" si="3"/>
        <v>3254000</v>
      </c>
    </row>
    <row r="23" spans="1:9" ht="15.75" x14ac:dyDescent="0.25">
      <c r="A23" s="77" t="s">
        <v>130</v>
      </c>
      <c r="B23" s="79" t="s">
        <v>131</v>
      </c>
      <c r="C23" s="86"/>
      <c r="D23" s="346"/>
      <c r="E23" s="346"/>
      <c r="F23" s="346"/>
      <c r="G23" s="346"/>
      <c r="H23" s="346"/>
      <c r="I23" s="352">
        <f t="shared" si="3"/>
        <v>0</v>
      </c>
    </row>
    <row r="24" spans="1:9" ht="15.75" x14ac:dyDescent="0.25">
      <c r="A24" s="77" t="s">
        <v>132</v>
      </c>
      <c r="B24" s="79" t="s">
        <v>133</v>
      </c>
      <c r="C24" s="86"/>
      <c r="D24" s="346">
        <f>SUM(C24:C24)</f>
        <v>0</v>
      </c>
      <c r="E24" s="346"/>
      <c r="F24" s="346"/>
      <c r="G24" s="346"/>
      <c r="H24" s="346"/>
      <c r="I24" s="352">
        <f t="shared" si="3"/>
        <v>0</v>
      </c>
    </row>
    <row r="25" spans="1:9" ht="16.5" thickBot="1" x14ac:dyDescent="0.3">
      <c r="A25" s="80" t="s">
        <v>134</v>
      </c>
      <c r="B25" s="87" t="s">
        <v>135</v>
      </c>
      <c r="C25" s="353">
        <f t="shared" ref="C25:I25" si="4">SUM(C19:C24)</f>
        <v>0</v>
      </c>
      <c r="D25" s="353">
        <f t="shared" si="4"/>
        <v>0</v>
      </c>
      <c r="E25" s="353">
        <f t="shared" si="4"/>
        <v>0</v>
      </c>
      <c r="F25" s="353">
        <f t="shared" si="4"/>
        <v>0</v>
      </c>
      <c r="G25" s="353">
        <f t="shared" si="4"/>
        <v>0</v>
      </c>
      <c r="H25" s="353">
        <f t="shared" si="4"/>
        <v>63010000</v>
      </c>
      <c r="I25" s="354">
        <f t="shared" si="4"/>
        <v>63010000</v>
      </c>
    </row>
    <row r="26" spans="1:9" ht="16.5" thickBot="1" x14ac:dyDescent="0.3">
      <c r="A26" s="88" t="s">
        <v>136</v>
      </c>
      <c r="B26" s="89" t="s">
        <v>137</v>
      </c>
      <c r="C26" s="355">
        <f>SUM(C16,C25)</f>
        <v>63617306.659999996</v>
      </c>
      <c r="D26" s="355">
        <f>SUM(D16,D25)</f>
        <v>11346000</v>
      </c>
      <c r="E26" s="355">
        <f>SUM(E16,E25)</f>
        <v>54823508.350000001</v>
      </c>
      <c r="F26" s="355">
        <f>SUM(F16,F25)</f>
        <v>21425266</v>
      </c>
      <c r="G26" s="355">
        <f>SUM(G16,G25)</f>
        <v>91130000</v>
      </c>
      <c r="H26" s="355">
        <f>SUM(H16+H25)</f>
        <v>252573545</v>
      </c>
      <c r="I26" s="356">
        <f>SUM(C26:H26)</f>
        <v>494915626.00999999</v>
      </c>
    </row>
    <row r="27" spans="1:9" ht="15.75" x14ac:dyDescent="0.25">
      <c r="A27" s="84" t="s">
        <v>138</v>
      </c>
      <c r="B27" s="90" t="s">
        <v>139</v>
      </c>
      <c r="C27" s="275">
        <v>6</v>
      </c>
      <c r="D27" s="275">
        <v>4</v>
      </c>
      <c r="E27" s="275">
        <v>9</v>
      </c>
      <c r="F27" s="275">
        <v>15</v>
      </c>
      <c r="G27" s="275">
        <v>10</v>
      </c>
      <c r="H27" s="275">
        <v>7</v>
      </c>
      <c r="I27" s="276">
        <f>SUM(C27:H27)</f>
        <v>51</v>
      </c>
    </row>
    <row r="28" spans="1:9" ht="15.75" x14ac:dyDescent="0.25">
      <c r="A28" s="84" t="s">
        <v>141</v>
      </c>
      <c r="B28" s="81" t="s">
        <v>435</v>
      </c>
      <c r="C28" s="277">
        <v>4</v>
      </c>
      <c r="D28" s="277">
        <v>1</v>
      </c>
      <c r="E28" s="277">
        <v>2</v>
      </c>
      <c r="F28" s="277">
        <v>0</v>
      </c>
      <c r="G28" s="277">
        <v>1</v>
      </c>
      <c r="H28" s="277">
        <v>10</v>
      </c>
      <c r="I28" s="277">
        <f>SUM(C28:H28)</f>
        <v>18</v>
      </c>
    </row>
    <row r="29" spans="1:9" ht="16.5" thickBot="1" x14ac:dyDescent="0.3">
      <c r="A29" s="77" t="s">
        <v>142</v>
      </c>
      <c r="B29" s="81" t="s">
        <v>436</v>
      </c>
      <c r="C29" s="277">
        <f t="shared" ref="C29:I29" si="5">SUM(C27:C28)</f>
        <v>10</v>
      </c>
      <c r="D29" s="277">
        <f t="shared" si="5"/>
        <v>5</v>
      </c>
      <c r="E29" s="277">
        <f t="shared" si="5"/>
        <v>11</v>
      </c>
      <c r="F29" s="277">
        <v>15</v>
      </c>
      <c r="G29" s="277">
        <f t="shared" si="5"/>
        <v>11</v>
      </c>
      <c r="H29" s="277">
        <f t="shared" si="5"/>
        <v>17</v>
      </c>
      <c r="I29" s="277">
        <f t="shared" si="5"/>
        <v>69</v>
      </c>
    </row>
    <row r="30" spans="1:9" ht="16.5" thickBot="1" x14ac:dyDescent="0.3">
      <c r="A30" s="84" t="s">
        <v>143</v>
      </c>
      <c r="B30" s="83" t="s">
        <v>148</v>
      </c>
      <c r="C30" s="349">
        <v>59381000</v>
      </c>
      <c r="D30" s="349">
        <v>7236559</v>
      </c>
      <c r="E30" s="349">
        <v>52133223</v>
      </c>
      <c r="F30" s="349">
        <v>0</v>
      </c>
      <c r="G30" s="349">
        <v>190502994</v>
      </c>
      <c r="H30" s="349">
        <f>609494806-SUM(C30:G30)</f>
        <v>300241030</v>
      </c>
      <c r="I30" s="350">
        <f>SUM(C30:H30)</f>
        <v>609494806</v>
      </c>
    </row>
    <row r="31" spans="1:9" ht="15.75" x14ac:dyDescent="0.25">
      <c r="A31" s="77" t="s">
        <v>144</v>
      </c>
      <c r="B31" s="90" t="s">
        <v>149</v>
      </c>
      <c r="C31" s="275">
        <v>5</v>
      </c>
      <c r="D31" s="275">
        <v>4</v>
      </c>
      <c r="E31" s="275">
        <v>9</v>
      </c>
      <c r="F31" s="275">
        <v>0</v>
      </c>
      <c r="G31" s="275">
        <v>11</v>
      </c>
      <c r="H31" s="275">
        <v>10</v>
      </c>
      <c r="I31" s="276">
        <f>SUM(C31:H31)</f>
        <v>39</v>
      </c>
    </row>
    <row r="32" spans="1:9" ht="15.75" x14ac:dyDescent="0.25">
      <c r="A32" s="84" t="s">
        <v>145</v>
      </c>
      <c r="B32" s="81" t="s">
        <v>150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13</v>
      </c>
      <c r="I32" s="279">
        <f>SUM(C32:H32)</f>
        <v>13</v>
      </c>
    </row>
    <row r="33" spans="1:9" ht="15.75" x14ac:dyDescent="0.25">
      <c r="A33" s="77" t="s">
        <v>146</v>
      </c>
      <c r="B33" s="78" t="s">
        <v>147</v>
      </c>
      <c r="C33" s="278">
        <f>SUM(C31:C32)</f>
        <v>5</v>
      </c>
      <c r="D33" s="278">
        <f t="shared" ref="D33:I33" si="6">SUM(D31:D32)</f>
        <v>4</v>
      </c>
      <c r="E33" s="278">
        <f t="shared" si="6"/>
        <v>9</v>
      </c>
      <c r="F33" s="278">
        <f>SUM(F31:F32)</f>
        <v>0</v>
      </c>
      <c r="G33" s="278">
        <f t="shared" si="6"/>
        <v>11</v>
      </c>
      <c r="H33" s="278">
        <f t="shared" si="6"/>
        <v>23</v>
      </c>
      <c r="I33" s="279">
        <f t="shared" si="6"/>
        <v>52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  <headerFooter>
    <oddHeader>&amp;R4. sz. melléklet / &amp;P.oldal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55" workbookViewId="0">
      <selection activeCell="C77" sqref="C77"/>
    </sheetView>
  </sheetViews>
  <sheetFormatPr defaultRowHeight="15" x14ac:dyDescent="0.25"/>
  <cols>
    <col min="1" max="1" width="4" customWidth="1"/>
    <col min="2" max="2" width="71.85546875" customWidth="1"/>
    <col min="3" max="3" width="15.7109375" style="286" bestFit="1" customWidth="1"/>
    <col min="6" max="6" width="15.7109375" customWidth="1"/>
    <col min="7" max="7" width="12.140625" customWidth="1"/>
    <col min="8" max="8" width="9.85546875" customWidth="1"/>
    <col min="9" max="9" width="11.85546875" customWidth="1"/>
    <col min="10" max="10" width="36.140625" customWidth="1"/>
  </cols>
  <sheetData>
    <row r="1" spans="1:6" ht="18.75" x14ac:dyDescent="0.3">
      <c r="A1" s="623" t="s">
        <v>274</v>
      </c>
      <c r="B1" s="623"/>
      <c r="C1" s="623"/>
    </row>
    <row r="2" spans="1:6" ht="18.75" x14ac:dyDescent="0.3">
      <c r="A2" s="623" t="s">
        <v>376</v>
      </c>
      <c r="B2" s="623"/>
      <c r="C2" s="623"/>
    </row>
    <row r="3" spans="1:6" ht="15.75" x14ac:dyDescent="0.25">
      <c r="A3" s="126"/>
      <c r="B3" s="127"/>
      <c r="C3" s="280" t="s">
        <v>37</v>
      </c>
    </row>
    <row r="4" spans="1:6" ht="15.75" x14ac:dyDescent="0.25">
      <c r="A4" s="128" t="s">
        <v>183</v>
      </c>
      <c r="B4" s="127"/>
      <c r="C4" s="25">
        <v>0</v>
      </c>
    </row>
    <row r="5" spans="1:6" ht="15.75" x14ac:dyDescent="0.25">
      <c r="A5" s="129" t="s">
        <v>46</v>
      </c>
      <c r="B5" s="130" t="s">
        <v>444</v>
      </c>
      <c r="C5" s="419">
        <v>12300000</v>
      </c>
    </row>
    <row r="6" spans="1:6" ht="15.75" x14ac:dyDescent="0.25">
      <c r="A6" s="129" t="s">
        <v>47</v>
      </c>
      <c r="B6" s="258" t="s">
        <v>445</v>
      </c>
      <c r="C6" s="420">
        <v>11986000</v>
      </c>
    </row>
    <row r="7" spans="1:6" ht="15.75" x14ac:dyDescent="0.25">
      <c r="A7" s="128"/>
      <c r="B7" s="11" t="s">
        <v>184</v>
      </c>
      <c r="C7" s="25">
        <f>SUM(C5:C6)</f>
        <v>24286000</v>
      </c>
    </row>
    <row r="8" spans="1:6" ht="15.75" x14ac:dyDescent="0.25">
      <c r="A8" s="128"/>
      <c r="B8" s="127"/>
      <c r="C8" s="281"/>
    </row>
    <row r="9" spans="1:6" ht="15.75" x14ac:dyDescent="0.25">
      <c r="A9" s="128" t="s">
        <v>185</v>
      </c>
      <c r="B9" s="127"/>
      <c r="C9" s="281"/>
    </row>
    <row r="10" spans="1:6" ht="15.75" x14ac:dyDescent="0.25">
      <c r="A10" s="128" t="s">
        <v>186</v>
      </c>
      <c r="B10" s="127"/>
      <c r="C10" s="281">
        <v>0</v>
      </c>
    </row>
    <row r="11" spans="1:6" ht="16.5" thickBot="1" x14ac:dyDescent="0.3">
      <c r="A11" s="128"/>
      <c r="B11" s="127"/>
      <c r="C11" s="281"/>
    </row>
    <row r="12" spans="1:6" ht="15.75" x14ac:dyDescent="0.25">
      <c r="A12" s="126"/>
      <c r="B12" s="131" t="s">
        <v>187</v>
      </c>
      <c r="C12" s="421">
        <f>SUM(C7:C11)</f>
        <v>24286000</v>
      </c>
    </row>
    <row r="13" spans="1:6" ht="15.75" x14ac:dyDescent="0.25">
      <c r="A13" s="126"/>
      <c r="B13" s="10"/>
      <c r="C13" s="282"/>
    </row>
    <row r="14" spans="1:6" ht="16.5" thickBot="1" x14ac:dyDescent="0.3">
      <c r="A14" s="128" t="s">
        <v>188</v>
      </c>
      <c r="B14" s="132"/>
      <c r="C14" s="413">
        <f>ROUND(SUM(C7,)*0.27,-3)</f>
        <v>6557000</v>
      </c>
      <c r="F14" s="413"/>
    </row>
    <row r="15" spans="1:6" ht="15.75" x14ac:dyDescent="0.25">
      <c r="A15" s="132"/>
      <c r="B15" s="134" t="s">
        <v>189</v>
      </c>
      <c r="C15" s="417">
        <f>SUM(C14)</f>
        <v>6557000</v>
      </c>
    </row>
    <row r="16" spans="1:6" ht="15.75" x14ac:dyDescent="0.25">
      <c r="A16" s="10"/>
      <c r="B16" s="135"/>
      <c r="C16" s="283"/>
    </row>
    <row r="17" spans="1:12" ht="15.75" x14ac:dyDescent="0.25">
      <c r="A17" s="128" t="s">
        <v>190</v>
      </c>
      <c r="B17" s="10"/>
      <c r="C17" s="280"/>
      <c r="E17" t="s">
        <v>623</v>
      </c>
      <c r="L17" s="12"/>
    </row>
    <row r="18" spans="1:12" ht="15.75" x14ac:dyDescent="0.25">
      <c r="A18" s="126" t="s">
        <v>46</v>
      </c>
      <c r="B18" s="10" t="s">
        <v>191</v>
      </c>
      <c r="C18" s="413">
        <f>'5_A_Feladatok'!S4</f>
        <v>408000</v>
      </c>
      <c r="E18" s="457">
        <f>C18</f>
        <v>408000</v>
      </c>
      <c r="L18" s="12"/>
    </row>
    <row r="19" spans="1:12" ht="15.75" x14ac:dyDescent="0.25">
      <c r="A19" s="126" t="s">
        <v>47</v>
      </c>
      <c r="B19" s="10" t="s">
        <v>192</v>
      </c>
      <c r="C19" s="413">
        <f>'5_A_Feladatok'!S5</f>
        <v>0</v>
      </c>
      <c r="E19" s="457">
        <f t="shared" ref="E19:E23" si="0">C19</f>
        <v>0</v>
      </c>
      <c r="L19" s="12"/>
    </row>
    <row r="20" spans="1:12" ht="15.75" x14ac:dyDescent="0.25">
      <c r="A20" s="126" t="s">
        <v>48</v>
      </c>
      <c r="B20" s="10" t="s">
        <v>193</v>
      </c>
      <c r="C20" s="413">
        <f>'5_A_Feladatok'!S6</f>
        <v>1210000</v>
      </c>
      <c r="E20" s="457">
        <f t="shared" si="0"/>
        <v>1210000</v>
      </c>
      <c r="L20" s="12"/>
    </row>
    <row r="21" spans="1:12" ht="15.75" x14ac:dyDescent="0.25">
      <c r="A21" s="126" t="s">
        <v>49</v>
      </c>
      <c r="B21" s="10" t="s">
        <v>194</v>
      </c>
      <c r="C21" s="413">
        <f>'5_A_Feladatok'!S7</f>
        <v>225000</v>
      </c>
      <c r="E21" s="457">
        <f t="shared" si="0"/>
        <v>225000</v>
      </c>
      <c r="L21" s="12"/>
    </row>
    <row r="22" spans="1:12" ht="15.75" x14ac:dyDescent="0.25">
      <c r="A22" s="126" t="s">
        <v>50</v>
      </c>
      <c r="B22" s="10" t="s">
        <v>548</v>
      </c>
      <c r="C22" s="413">
        <f>'5_A_Feladatok'!S8</f>
        <v>4000000</v>
      </c>
      <c r="E22" s="457">
        <f t="shared" si="0"/>
        <v>4000000</v>
      </c>
      <c r="L22" s="12"/>
    </row>
    <row r="23" spans="1:12" ht="15.75" x14ac:dyDescent="0.25">
      <c r="A23" s="126" t="s">
        <v>51</v>
      </c>
      <c r="B23" s="10" t="s">
        <v>569</v>
      </c>
      <c r="C23" s="416">
        <f>'5_A_Feladatok'!S9</f>
        <v>340000</v>
      </c>
      <c r="E23" s="457">
        <f t="shared" si="0"/>
        <v>340000</v>
      </c>
      <c r="L23" s="12"/>
    </row>
    <row r="24" spans="1:12" ht="15.75" x14ac:dyDescent="0.25">
      <c r="A24" s="126"/>
      <c r="B24" s="11" t="s">
        <v>195</v>
      </c>
      <c r="C24" s="27">
        <f>SUM(C18:C23)</f>
        <v>6183000</v>
      </c>
      <c r="E24" s="457"/>
      <c r="L24" s="12"/>
    </row>
    <row r="25" spans="1:12" ht="15.75" x14ac:dyDescent="0.25">
      <c r="A25" s="126"/>
      <c r="B25" s="10"/>
      <c r="C25" s="413"/>
      <c r="E25" s="457">
        <f t="shared" ref="E25:E39" si="1">C25</f>
        <v>0</v>
      </c>
      <c r="L25" s="12"/>
    </row>
    <row r="26" spans="1:12" ht="15.75" x14ac:dyDescent="0.25">
      <c r="A26" s="126" t="s">
        <v>52</v>
      </c>
      <c r="B26" s="432" t="s">
        <v>196</v>
      </c>
      <c r="C26" s="413">
        <f>'5_A_Feladatok'!S12</f>
        <v>140000</v>
      </c>
      <c r="E26" s="457">
        <f t="shared" si="1"/>
        <v>140000</v>
      </c>
      <c r="L26" s="12"/>
    </row>
    <row r="27" spans="1:12" ht="15.75" x14ac:dyDescent="0.25">
      <c r="A27" s="126" t="s">
        <v>53</v>
      </c>
      <c r="B27" s="432" t="s">
        <v>197</v>
      </c>
      <c r="C27" s="413">
        <f>'5_A_Feladatok'!S13</f>
        <v>30000</v>
      </c>
      <c r="E27" s="457">
        <f t="shared" si="1"/>
        <v>30000</v>
      </c>
      <c r="L27" s="12"/>
    </row>
    <row r="28" spans="1:12" ht="15.75" x14ac:dyDescent="0.25">
      <c r="A28" s="126" t="s">
        <v>54</v>
      </c>
      <c r="B28" s="432" t="s">
        <v>456</v>
      </c>
      <c r="C28" s="413">
        <f>'5_A_Feladatok'!S14</f>
        <v>0</v>
      </c>
      <c r="E28" s="457">
        <f t="shared" si="1"/>
        <v>0</v>
      </c>
      <c r="L28" s="12"/>
    </row>
    <row r="29" spans="1:12" ht="15.75" x14ac:dyDescent="0.25">
      <c r="A29" s="126" t="s">
        <v>55</v>
      </c>
      <c r="B29" s="432" t="s">
        <v>199</v>
      </c>
      <c r="C29" s="413">
        <f>'5_A_Feladatok'!S15</f>
        <v>1020000</v>
      </c>
      <c r="E29" s="457">
        <f t="shared" si="1"/>
        <v>1020000</v>
      </c>
      <c r="L29" s="12"/>
    </row>
    <row r="30" spans="1:12" ht="15.75" x14ac:dyDescent="0.25">
      <c r="A30" s="126" t="s">
        <v>56</v>
      </c>
      <c r="B30" s="432" t="s">
        <v>200</v>
      </c>
      <c r="C30" s="413">
        <f>'5_A_Feladatok'!S16</f>
        <v>8050000</v>
      </c>
      <c r="E30" s="457">
        <f t="shared" si="1"/>
        <v>8050000</v>
      </c>
      <c r="L30" s="12"/>
    </row>
    <row r="31" spans="1:12" ht="15.75" x14ac:dyDescent="0.25">
      <c r="A31" s="126" t="s">
        <v>57</v>
      </c>
      <c r="B31" s="432" t="s">
        <v>201</v>
      </c>
      <c r="C31" s="413">
        <f>'5_A_Feladatok'!S17</f>
        <v>1130000</v>
      </c>
      <c r="E31" s="457">
        <f t="shared" si="1"/>
        <v>1130000</v>
      </c>
      <c r="L31" s="12"/>
    </row>
    <row r="32" spans="1:12" ht="15.75" x14ac:dyDescent="0.25">
      <c r="A32" s="126" t="s">
        <v>58</v>
      </c>
      <c r="B32" s="432" t="s">
        <v>272</v>
      </c>
      <c r="C32" s="413">
        <f>'5_A_Feladatok'!S18</f>
        <v>3220000</v>
      </c>
      <c r="E32" s="457">
        <f t="shared" si="1"/>
        <v>3220000</v>
      </c>
      <c r="L32" s="12"/>
    </row>
    <row r="33" spans="1:12" ht="15.75" x14ac:dyDescent="0.25">
      <c r="A33" s="126" t="s">
        <v>59</v>
      </c>
      <c r="B33" s="432" t="s">
        <v>544</v>
      </c>
      <c r="C33" s="413">
        <f>'5_A_Feladatok'!S19</f>
        <v>2480000</v>
      </c>
      <c r="E33" s="457"/>
      <c r="L33" s="12"/>
    </row>
    <row r="34" spans="1:12" ht="15.75" x14ac:dyDescent="0.25">
      <c r="A34" s="126" t="s">
        <v>60</v>
      </c>
      <c r="B34" s="432" t="s">
        <v>545</v>
      </c>
      <c r="C34" s="413">
        <f>'5_A_Feladatok'!S20</f>
        <v>1000000</v>
      </c>
      <c r="E34" s="457">
        <f t="shared" si="1"/>
        <v>1000000</v>
      </c>
      <c r="L34" s="12"/>
    </row>
    <row r="35" spans="1:12" ht="15.75" x14ac:dyDescent="0.25">
      <c r="A35" s="126" t="s">
        <v>61</v>
      </c>
      <c r="B35" s="432" t="s">
        <v>203</v>
      </c>
      <c r="C35" s="413">
        <f>'5_A_Feladatok'!S21</f>
        <v>2495000</v>
      </c>
      <c r="E35" s="457">
        <f t="shared" si="1"/>
        <v>2495000</v>
      </c>
      <c r="L35" s="12"/>
    </row>
    <row r="36" spans="1:12" ht="31.5" x14ac:dyDescent="0.25">
      <c r="A36" s="126"/>
      <c r="B36" s="490" t="s">
        <v>660</v>
      </c>
      <c r="C36" s="413"/>
      <c r="E36" s="457">
        <f t="shared" si="1"/>
        <v>0</v>
      </c>
    </row>
    <row r="37" spans="1:12" ht="15.75" x14ac:dyDescent="0.25">
      <c r="A37" s="126" t="s">
        <v>127</v>
      </c>
      <c r="B37" s="432" t="s">
        <v>560</v>
      </c>
      <c r="C37" s="413">
        <f>'5_A_Feladatok'!S23</f>
        <v>22699278</v>
      </c>
      <c r="E37" s="457">
        <f t="shared" ref="E37" si="2">C37</f>
        <v>22699278</v>
      </c>
      <c r="L37" s="12"/>
    </row>
    <row r="38" spans="1:12" ht="15.75" x14ac:dyDescent="0.25">
      <c r="A38" s="126" t="s">
        <v>129</v>
      </c>
      <c r="B38" s="432" t="s">
        <v>560</v>
      </c>
      <c r="C38" s="413">
        <f>'5_A_Feladatok'!S24</f>
        <v>2985000</v>
      </c>
      <c r="E38" s="457">
        <f t="shared" si="1"/>
        <v>2985000</v>
      </c>
      <c r="L38" s="12"/>
    </row>
    <row r="39" spans="1:12" ht="15.75" x14ac:dyDescent="0.25">
      <c r="A39" s="126" t="s">
        <v>130</v>
      </c>
      <c r="B39" s="432" t="s">
        <v>205</v>
      </c>
      <c r="C39" s="416">
        <f>'5_A_Feladatok'!S25</f>
        <v>0</v>
      </c>
      <c r="E39" s="457">
        <f t="shared" si="1"/>
        <v>0</v>
      </c>
      <c r="L39" s="12"/>
    </row>
    <row r="40" spans="1:12" ht="15.75" x14ac:dyDescent="0.25">
      <c r="A40" s="126"/>
      <c r="B40" s="11" t="s">
        <v>206</v>
      </c>
      <c r="C40" s="27">
        <f>SUM(C26:C39)</f>
        <v>45249278</v>
      </c>
      <c r="L40" s="12"/>
    </row>
    <row r="41" spans="1:12" ht="15.75" x14ac:dyDescent="0.25">
      <c r="A41" s="126"/>
      <c r="B41" s="10"/>
      <c r="C41" s="413"/>
      <c r="L41" s="12"/>
    </row>
    <row r="42" spans="1:12" ht="15.75" x14ac:dyDescent="0.25">
      <c r="A42" s="126" t="s">
        <v>132</v>
      </c>
      <c r="B42" s="432" t="s">
        <v>207</v>
      </c>
      <c r="C42" s="413">
        <f>'5_A_Feladatok'!S28</f>
        <v>12855000</v>
      </c>
      <c r="L42" s="12"/>
    </row>
    <row r="43" spans="1:12" ht="15.75" x14ac:dyDescent="0.25">
      <c r="A43" s="126" t="s">
        <v>134</v>
      </c>
      <c r="B43" s="10" t="s">
        <v>566</v>
      </c>
      <c r="C43" s="413">
        <f>'5_A_Feladatok'!S29</f>
        <v>395400</v>
      </c>
      <c r="L43" s="12"/>
    </row>
    <row r="44" spans="1:12" ht="15.75" x14ac:dyDescent="0.25">
      <c r="A44" s="126"/>
      <c r="B44" s="10" t="str">
        <f>CONCATENATE("/ Bérleti díjak után befizetendő ÁFA: (",DOLLAR('2_A'!F69,-3),") - Levonható ÁFA: (",DOLLAR(0,-3), ") = ",DOLLAR(('2_A'!F69-0),-3), " /",)</f>
        <v>/ Bérleti díjak után befizetendő ÁFA: (248 000 Ft) - Levonható ÁFA: (0 Ft) = 248 000 Ft /</v>
      </c>
      <c r="C44" s="413"/>
      <c r="L44" s="12"/>
    </row>
    <row r="45" spans="1:12" ht="15.75" x14ac:dyDescent="0.25">
      <c r="A45" s="126" t="s">
        <v>136</v>
      </c>
      <c r="B45" s="432" t="s">
        <v>208</v>
      </c>
      <c r="C45" s="413">
        <f>'5_A_Feladatok'!S31</f>
        <v>0</v>
      </c>
      <c r="L45" s="12"/>
    </row>
    <row r="46" spans="1:12" ht="15.75" x14ac:dyDescent="0.25">
      <c r="A46" s="126" t="s">
        <v>138</v>
      </c>
      <c r="B46" s="432" t="s">
        <v>209</v>
      </c>
      <c r="C46" s="413">
        <f>'5_A_Feladatok'!S32</f>
        <v>100000</v>
      </c>
      <c r="L46" s="12"/>
    </row>
    <row r="47" spans="1:12" ht="15.75" x14ac:dyDescent="0.25">
      <c r="A47" s="126" t="s">
        <v>140</v>
      </c>
      <c r="B47" s="432" t="s">
        <v>210</v>
      </c>
      <c r="C47" s="416">
        <f>'5_A_Feladatok'!S33</f>
        <v>456000</v>
      </c>
      <c r="E47" s="457">
        <f>C47</f>
        <v>456000</v>
      </c>
      <c r="L47" s="12"/>
    </row>
    <row r="48" spans="1:12" ht="16.5" thickBot="1" x14ac:dyDescent="0.3">
      <c r="A48" s="126"/>
      <c r="B48" s="11" t="s">
        <v>211</v>
      </c>
      <c r="C48" s="27">
        <f>SUM(C42:C47)</f>
        <v>13806400</v>
      </c>
      <c r="L48" s="12"/>
    </row>
    <row r="49" spans="1:9" ht="16.5" thickBot="1" x14ac:dyDescent="0.3">
      <c r="A49" s="126"/>
      <c r="B49" s="10"/>
      <c r="C49" s="413"/>
      <c r="E49" s="466">
        <f>(SUM(E18:E47)*0.27)</f>
        <v>13340235.060000001</v>
      </c>
    </row>
    <row r="50" spans="1:9" ht="15.75" x14ac:dyDescent="0.25">
      <c r="A50" s="126" t="s">
        <v>141</v>
      </c>
      <c r="B50" s="432" t="s">
        <v>212</v>
      </c>
      <c r="C50" s="413">
        <f>'5_A_Feladatok'!S36</f>
        <v>0</v>
      </c>
    </row>
    <row r="51" spans="1:9" ht="15.75" x14ac:dyDescent="0.25">
      <c r="A51" s="126" t="s">
        <v>142</v>
      </c>
      <c r="B51" s="432" t="s">
        <v>213</v>
      </c>
      <c r="C51" s="413">
        <f>'5_A_Feladatok'!S37</f>
        <v>0</v>
      </c>
    </row>
    <row r="52" spans="1:9" ht="15.75" x14ac:dyDescent="0.25">
      <c r="A52" s="126" t="s">
        <v>143</v>
      </c>
      <c r="B52" s="432" t="s">
        <v>214</v>
      </c>
      <c r="C52" s="413">
        <f>'5_A_Feladatok'!S38</f>
        <v>60000</v>
      </c>
    </row>
    <row r="53" spans="1:9" ht="15.75" x14ac:dyDescent="0.25">
      <c r="A53" s="126" t="s">
        <v>144</v>
      </c>
      <c r="B53" s="432" t="s">
        <v>215</v>
      </c>
      <c r="C53" s="413">
        <f>'5_A_Feladatok'!S39</f>
        <v>0</v>
      </c>
    </row>
    <row r="54" spans="1:9" ht="15.75" x14ac:dyDescent="0.25">
      <c r="A54" s="126" t="s">
        <v>145</v>
      </c>
      <c r="B54" s="432" t="s">
        <v>215</v>
      </c>
      <c r="C54" s="413">
        <f>'5_A_Feladatok'!S40</f>
        <v>49358858</v>
      </c>
    </row>
    <row r="55" spans="1:9" ht="15.75" x14ac:dyDescent="0.25">
      <c r="A55" s="133"/>
      <c r="B55" s="134" t="s">
        <v>216</v>
      </c>
      <c r="C55" s="414">
        <f>SUM(C50:C54)</f>
        <v>49418858</v>
      </c>
      <c r="H55" s="132"/>
      <c r="I55" s="413"/>
    </row>
    <row r="56" spans="1:9" ht="16.5" thickBot="1" x14ac:dyDescent="0.3">
      <c r="A56" s="133"/>
      <c r="B56" s="134"/>
      <c r="C56" s="27"/>
    </row>
    <row r="57" spans="1:9" ht="15.75" x14ac:dyDescent="0.25">
      <c r="A57" s="133"/>
      <c r="B57" s="136" t="s">
        <v>217</v>
      </c>
      <c r="C57" s="417">
        <f>SUM(C24,C40,C48,C55)</f>
        <v>114657536</v>
      </c>
    </row>
    <row r="58" spans="1:9" ht="15.75" x14ac:dyDescent="0.25">
      <c r="A58" s="126"/>
      <c r="B58" s="10"/>
      <c r="C58" s="282"/>
    </row>
    <row r="59" spans="1:9" ht="15.75" x14ac:dyDescent="0.25">
      <c r="A59" s="128" t="s">
        <v>218</v>
      </c>
      <c r="B59" s="10"/>
      <c r="C59" s="280"/>
    </row>
    <row r="60" spans="1:9" ht="15.75" x14ac:dyDescent="0.25">
      <c r="A60" s="126" t="s">
        <v>46</v>
      </c>
      <c r="B60" s="10" t="s">
        <v>367</v>
      </c>
      <c r="C60" s="413">
        <v>3000000</v>
      </c>
    </row>
    <row r="61" spans="1:9" ht="15.75" x14ac:dyDescent="0.25">
      <c r="A61" s="126" t="s">
        <v>47</v>
      </c>
      <c r="B61" s="10" t="s">
        <v>368</v>
      </c>
      <c r="C61" s="413">
        <v>400000</v>
      </c>
    </row>
    <row r="62" spans="1:9" ht="15.75" x14ac:dyDescent="0.25">
      <c r="A62" s="126"/>
      <c r="B62" s="11" t="s">
        <v>219</v>
      </c>
      <c r="C62" s="414">
        <f>SUM(C60:C61)</f>
        <v>3400000</v>
      </c>
    </row>
    <row r="63" spans="1:9" ht="15.75" x14ac:dyDescent="0.25">
      <c r="A63" s="126"/>
      <c r="B63" s="10"/>
      <c r="C63" s="282"/>
    </row>
    <row r="64" spans="1:9" ht="15.75" x14ac:dyDescent="0.25">
      <c r="A64" s="126" t="s">
        <v>48</v>
      </c>
      <c r="B64" s="10" t="s">
        <v>448</v>
      </c>
      <c r="C64" s="413">
        <v>13800000</v>
      </c>
    </row>
    <row r="65" spans="1:3" ht="15.75" x14ac:dyDescent="0.25">
      <c r="A65" s="126" t="s">
        <v>49</v>
      </c>
      <c r="B65" s="10" t="s">
        <v>449</v>
      </c>
      <c r="C65" s="413">
        <v>5115000</v>
      </c>
    </row>
    <row r="66" spans="1:3" ht="15.75" x14ac:dyDescent="0.25">
      <c r="A66" s="126" t="s">
        <v>50</v>
      </c>
      <c r="B66" s="10" t="s">
        <v>446</v>
      </c>
      <c r="C66" s="413">
        <v>216000</v>
      </c>
    </row>
    <row r="67" spans="1:3" ht="15.75" x14ac:dyDescent="0.25">
      <c r="A67" s="126" t="s">
        <v>51</v>
      </c>
      <c r="B67" s="10" t="s">
        <v>447</v>
      </c>
      <c r="C67" s="413">
        <v>800000</v>
      </c>
    </row>
    <row r="68" spans="1:3" ht="15.75" x14ac:dyDescent="0.25">
      <c r="A68" s="126" t="s">
        <v>52</v>
      </c>
      <c r="B68" s="10" t="s">
        <v>369</v>
      </c>
      <c r="C68" s="413">
        <v>500000</v>
      </c>
    </row>
    <row r="69" spans="1:3" ht="15.75" x14ac:dyDescent="0.25">
      <c r="A69" s="126" t="s">
        <v>53</v>
      </c>
      <c r="B69" s="132" t="s">
        <v>255</v>
      </c>
      <c r="C69" s="413">
        <v>1180000</v>
      </c>
    </row>
    <row r="70" spans="1:3" ht="15.75" x14ac:dyDescent="0.25">
      <c r="A70" s="126" t="s">
        <v>54</v>
      </c>
      <c r="B70" s="132" t="s">
        <v>370</v>
      </c>
      <c r="C70" s="413">
        <v>800000</v>
      </c>
    </row>
    <row r="71" spans="1:3" ht="15.75" x14ac:dyDescent="0.25">
      <c r="A71" s="126" t="s">
        <v>55</v>
      </c>
      <c r="B71" s="132" t="s">
        <v>371</v>
      </c>
      <c r="C71" s="413">
        <v>100000</v>
      </c>
    </row>
    <row r="72" spans="1:3" ht="15.75" x14ac:dyDescent="0.25">
      <c r="A72" s="126" t="s">
        <v>56</v>
      </c>
      <c r="B72" s="132" t="s">
        <v>372</v>
      </c>
      <c r="C72" s="413">
        <v>30000</v>
      </c>
    </row>
    <row r="73" spans="1:3" ht="14.25" customHeight="1" x14ac:dyDescent="0.25">
      <c r="A73" s="126" t="s">
        <v>57</v>
      </c>
      <c r="B73" s="132" t="s">
        <v>771</v>
      </c>
      <c r="C73" s="413">
        <v>50000</v>
      </c>
    </row>
    <row r="74" spans="1:3" ht="14.25" customHeight="1" x14ac:dyDescent="0.25">
      <c r="A74" s="126" t="s">
        <v>58</v>
      </c>
      <c r="B74" s="132" t="s">
        <v>373</v>
      </c>
      <c r="C74" s="413">
        <v>1000</v>
      </c>
    </row>
    <row r="75" spans="1:3" ht="14.25" customHeight="1" x14ac:dyDescent="0.25">
      <c r="A75" s="126" t="s">
        <v>59</v>
      </c>
      <c r="B75" s="132" t="s">
        <v>516</v>
      </c>
      <c r="C75" s="413">
        <v>2250000</v>
      </c>
    </row>
    <row r="76" spans="1:3" ht="14.25" customHeight="1" x14ac:dyDescent="0.25">
      <c r="A76" s="126" t="s">
        <v>60</v>
      </c>
      <c r="B76" s="132" t="s">
        <v>783</v>
      </c>
      <c r="C76" s="413">
        <v>358911</v>
      </c>
    </row>
    <row r="77" spans="1:3" ht="14.25" customHeight="1" x14ac:dyDescent="0.25">
      <c r="A77" s="126" t="s">
        <v>61</v>
      </c>
      <c r="B77" s="537" t="s">
        <v>753</v>
      </c>
      <c r="C77" s="413">
        <v>25000</v>
      </c>
    </row>
    <row r="78" spans="1:3" ht="14.25" customHeight="1" x14ac:dyDescent="0.25">
      <c r="A78" s="126" t="s">
        <v>127</v>
      </c>
      <c r="B78" s="537" t="s">
        <v>755</v>
      </c>
      <c r="C78" s="413">
        <v>4625811</v>
      </c>
    </row>
    <row r="79" spans="1:3" ht="14.25" customHeight="1" x14ac:dyDescent="0.25">
      <c r="A79" s="126" t="s">
        <v>129</v>
      </c>
      <c r="B79" s="537" t="s">
        <v>756</v>
      </c>
      <c r="C79" s="413">
        <v>0</v>
      </c>
    </row>
    <row r="80" spans="1:3" ht="14.25" customHeight="1" x14ac:dyDescent="0.25">
      <c r="A80" s="126" t="s">
        <v>130</v>
      </c>
      <c r="B80" s="537" t="s">
        <v>757</v>
      </c>
      <c r="C80" s="413">
        <v>1200000</v>
      </c>
    </row>
    <row r="81" spans="1:3" ht="15.75" x14ac:dyDescent="0.25">
      <c r="A81" s="126"/>
      <c r="B81" s="134" t="s">
        <v>220</v>
      </c>
      <c r="C81" s="414">
        <f>SUM(C64:C80)</f>
        <v>31051722</v>
      </c>
    </row>
    <row r="82" spans="1:3" ht="16.5" thickBot="1" x14ac:dyDescent="0.3">
      <c r="A82" s="126"/>
      <c r="B82" s="134"/>
      <c r="C82" s="285"/>
    </row>
    <row r="83" spans="1:3" ht="15.75" x14ac:dyDescent="0.25">
      <c r="A83" s="10"/>
      <c r="B83" s="136" t="s">
        <v>221</v>
      </c>
      <c r="C83" s="330">
        <f>C62+C81</f>
        <v>34451722</v>
      </c>
    </row>
    <row r="84" spans="1:3" ht="15.75" x14ac:dyDescent="0.25">
      <c r="A84" s="10"/>
      <c r="B84" s="135"/>
      <c r="C84" s="283"/>
    </row>
    <row r="85" spans="1:3" ht="15.75" x14ac:dyDescent="0.25">
      <c r="A85" s="128" t="s">
        <v>222</v>
      </c>
      <c r="B85" s="10"/>
      <c r="C85" s="280"/>
    </row>
    <row r="86" spans="1:3" ht="15.75" x14ac:dyDescent="0.25">
      <c r="A86" s="10"/>
      <c r="B86" s="135" t="s">
        <v>223</v>
      </c>
      <c r="C86" s="280"/>
    </row>
    <row r="87" spans="1:3" ht="15.75" x14ac:dyDescent="0.25">
      <c r="A87" s="126" t="s">
        <v>46</v>
      </c>
      <c r="B87" s="10" t="s">
        <v>224</v>
      </c>
      <c r="C87" s="413">
        <v>800000</v>
      </c>
    </row>
    <row r="88" spans="1:3" ht="15.75" x14ac:dyDescent="0.25">
      <c r="A88" s="126" t="s">
        <v>47</v>
      </c>
      <c r="B88" s="10" t="s">
        <v>536</v>
      </c>
      <c r="C88" s="413">
        <v>220000</v>
      </c>
    </row>
    <row r="89" spans="1:3" ht="15.75" x14ac:dyDescent="0.25">
      <c r="A89" s="126" t="s">
        <v>48</v>
      </c>
      <c r="B89" s="10" t="s">
        <v>537</v>
      </c>
      <c r="C89" s="413">
        <v>1252000</v>
      </c>
    </row>
    <row r="90" spans="1:3" ht="15.75" x14ac:dyDescent="0.25">
      <c r="A90" s="126" t="s">
        <v>49</v>
      </c>
      <c r="B90" s="10" t="s">
        <v>659</v>
      </c>
      <c r="C90" s="413">
        <v>140000</v>
      </c>
    </row>
    <row r="91" spans="1:3" ht="15.75" x14ac:dyDescent="0.25">
      <c r="A91" s="126" t="s">
        <v>50</v>
      </c>
      <c r="B91" s="132" t="s">
        <v>225</v>
      </c>
      <c r="C91" s="416">
        <v>0</v>
      </c>
    </row>
    <row r="92" spans="1:3" ht="15.75" x14ac:dyDescent="0.25">
      <c r="A92" s="10"/>
      <c r="B92" s="135" t="s">
        <v>226</v>
      </c>
      <c r="C92" s="330">
        <f>SUM(C86:C91)</f>
        <v>2412000</v>
      </c>
    </row>
    <row r="93" spans="1:3" ht="16.5" thickBot="1" x14ac:dyDescent="0.3">
      <c r="A93" s="10"/>
      <c r="B93" s="135" t="s">
        <v>227</v>
      </c>
      <c r="C93" s="330"/>
    </row>
    <row r="94" spans="1:3" ht="15.75" x14ac:dyDescent="0.25">
      <c r="A94" s="128" t="s">
        <v>228</v>
      </c>
      <c r="B94" s="128"/>
      <c r="C94" s="417">
        <f>SUM(C92:C93)</f>
        <v>2412000</v>
      </c>
    </row>
    <row r="95" spans="1:3" ht="16.5" thickBot="1" x14ac:dyDescent="0.3">
      <c r="A95" s="128"/>
      <c r="B95" s="10"/>
      <c r="C95" s="280"/>
    </row>
    <row r="96" spans="1:3" ht="15.75" x14ac:dyDescent="0.25">
      <c r="A96" s="624" t="s">
        <v>229</v>
      </c>
      <c r="B96" s="624"/>
      <c r="C96" s="417">
        <f>SUM(C15,C12,C57,C83,C94)</f>
        <v>182364258</v>
      </c>
    </row>
    <row r="97" spans="1:10" ht="15.75" x14ac:dyDescent="0.25">
      <c r="A97" s="128"/>
      <c r="B97" s="10"/>
      <c r="C97" s="280"/>
    </row>
    <row r="98" spans="1:10" ht="15.75" x14ac:dyDescent="0.25">
      <c r="A98" s="128" t="s">
        <v>230</v>
      </c>
      <c r="B98" s="10"/>
      <c r="C98" s="280"/>
    </row>
    <row r="99" spans="1:10" ht="15.75" x14ac:dyDescent="0.25">
      <c r="A99" s="137" t="s">
        <v>231</v>
      </c>
      <c r="B99" s="10"/>
      <c r="C99" s="280"/>
    </row>
    <row r="100" spans="1:10" ht="15.75" x14ac:dyDescent="0.25">
      <c r="A100" s="126" t="s">
        <v>46</v>
      </c>
      <c r="B100" s="10" t="s">
        <v>441</v>
      </c>
      <c r="C100" s="415">
        <v>44752000</v>
      </c>
    </row>
    <row r="101" spans="1:10" ht="15.75" x14ac:dyDescent="0.25">
      <c r="A101" s="126" t="s">
        <v>47</v>
      </c>
      <c r="B101" s="10" t="s">
        <v>662</v>
      </c>
      <c r="C101" s="415">
        <v>2300000</v>
      </c>
    </row>
    <row r="102" spans="1:10" ht="15.75" x14ac:dyDescent="0.25">
      <c r="A102" s="126" t="s">
        <v>48</v>
      </c>
      <c r="B102" s="132" t="s">
        <v>232</v>
      </c>
      <c r="C102" s="416">
        <f>ROUND((SUM(C100:C101)*0.27),-3)</f>
        <v>12704000</v>
      </c>
    </row>
    <row r="103" spans="1:10" ht="15.75" x14ac:dyDescent="0.25">
      <c r="A103" s="126"/>
      <c r="B103" s="134" t="s">
        <v>233</v>
      </c>
      <c r="C103" s="330">
        <f>SUM(C100:C102)</f>
        <v>59756000</v>
      </c>
      <c r="F103" s="413"/>
    </row>
    <row r="104" spans="1:10" ht="15.75" x14ac:dyDescent="0.25">
      <c r="A104" s="137" t="s">
        <v>234</v>
      </c>
      <c r="B104" s="10"/>
      <c r="C104" s="415"/>
    </row>
    <row r="105" spans="1:10" ht="15.75" x14ac:dyDescent="0.25">
      <c r="A105" s="133" t="s">
        <v>46</v>
      </c>
      <c r="B105" s="132" t="s">
        <v>253</v>
      </c>
      <c r="C105" s="413"/>
    </row>
    <row r="106" spans="1:10" ht="15.75" x14ac:dyDescent="0.25">
      <c r="A106" s="133" t="s">
        <v>47</v>
      </c>
      <c r="B106" s="132" t="s">
        <v>235</v>
      </c>
      <c r="C106" s="413">
        <f>C105*0.27</f>
        <v>0</v>
      </c>
    </row>
    <row r="107" spans="1:10" ht="15.75" x14ac:dyDescent="0.25">
      <c r="A107" s="138"/>
      <c r="B107" s="134" t="s">
        <v>236</v>
      </c>
      <c r="C107" s="414">
        <f>SUM(C105:C106)</f>
        <v>0</v>
      </c>
      <c r="F107" s="431" t="s">
        <v>764</v>
      </c>
      <c r="G107" t="s">
        <v>765</v>
      </c>
      <c r="H107" t="s">
        <v>766</v>
      </c>
    </row>
    <row r="108" spans="1:10" ht="15.75" x14ac:dyDescent="0.25">
      <c r="A108" s="137" t="s">
        <v>237</v>
      </c>
      <c r="B108" s="10"/>
      <c r="C108" s="415"/>
      <c r="E108" t="s">
        <v>772</v>
      </c>
      <c r="F108" s="295">
        <v>-500000</v>
      </c>
      <c r="G108" s="608">
        <v>41393</v>
      </c>
      <c r="H108" t="s">
        <v>767</v>
      </c>
      <c r="J108" t="s">
        <v>775</v>
      </c>
    </row>
    <row r="109" spans="1:10" ht="15.75" x14ac:dyDescent="0.25">
      <c r="A109" s="133" t="s">
        <v>46</v>
      </c>
      <c r="B109" s="10" t="s">
        <v>256</v>
      </c>
      <c r="C109" s="416">
        <v>3254000</v>
      </c>
      <c r="E109" t="s">
        <v>772</v>
      </c>
      <c r="F109" s="295">
        <v>-50000</v>
      </c>
      <c r="G109" s="608">
        <v>41394</v>
      </c>
      <c r="H109" t="s">
        <v>774</v>
      </c>
      <c r="J109" t="s">
        <v>775</v>
      </c>
    </row>
    <row r="110" spans="1:10" ht="15.75" x14ac:dyDescent="0.25">
      <c r="A110" s="138"/>
      <c r="B110" s="134" t="s">
        <v>238</v>
      </c>
      <c r="C110" s="330">
        <f>SUM(C109:C109)</f>
        <v>3254000</v>
      </c>
      <c r="F110" s="295">
        <v>-358911</v>
      </c>
      <c r="G110" s="608">
        <v>41395</v>
      </c>
      <c r="H110" t="s">
        <v>768</v>
      </c>
    </row>
    <row r="111" spans="1:10" ht="15.75" x14ac:dyDescent="0.25">
      <c r="A111" s="137" t="s">
        <v>239</v>
      </c>
      <c r="B111" s="10"/>
      <c r="C111" s="415"/>
      <c r="F111" s="295">
        <v>-10200000</v>
      </c>
      <c r="G111" s="608">
        <v>41395</v>
      </c>
      <c r="H111" t="s">
        <v>769</v>
      </c>
      <c r="J111" t="s">
        <v>773</v>
      </c>
    </row>
    <row r="112" spans="1:10" ht="15.75" x14ac:dyDescent="0.25">
      <c r="A112" s="133" t="s">
        <v>46</v>
      </c>
      <c r="B112" s="132" t="s">
        <v>254</v>
      </c>
      <c r="C112" s="416"/>
      <c r="E112" t="s">
        <v>772</v>
      </c>
      <c r="F112" s="610">
        <v>13808198</v>
      </c>
      <c r="G112" s="608">
        <v>41395</v>
      </c>
      <c r="H112" s="537" t="s">
        <v>770</v>
      </c>
      <c r="J112" t="s">
        <v>776</v>
      </c>
    </row>
    <row r="113" spans="1:9" ht="15.75" x14ac:dyDescent="0.25">
      <c r="A113" s="138"/>
      <c r="B113" s="134" t="s">
        <v>240</v>
      </c>
      <c r="C113" s="330">
        <f>SUM(C112:C112)</f>
        <v>0</v>
      </c>
      <c r="F113" s="609">
        <f>SUM(F108:F112)</f>
        <v>2699287</v>
      </c>
      <c r="H113" t="s">
        <v>782</v>
      </c>
    </row>
    <row r="114" spans="1:9" ht="15.75" x14ac:dyDescent="0.25">
      <c r="A114" s="137" t="s">
        <v>241</v>
      </c>
      <c r="B114" s="10"/>
      <c r="C114" s="435" t="s">
        <v>154</v>
      </c>
      <c r="G114" s="537"/>
    </row>
    <row r="115" spans="1:9" ht="16.5" thickBot="1" x14ac:dyDescent="0.3">
      <c r="A115" s="137"/>
      <c r="B115" s="10"/>
      <c r="C115" s="435"/>
    </row>
    <row r="116" spans="1:9" ht="15.75" x14ac:dyDescent="0.25">
      <c r="A116" s="624" t="s">
        <v>242</v>
      </c>
      <c r="B116" s="624"/>
      <c r="C116" s="417">
        <f>SUM(C103,C107,C110,C113)</f>
        <v>63010000</v>
      </c>
    </row>
    <row r="117" spans="1:9" ht="15.75" x14ac:dyDescent="0.25">
      <c r="A117" s="128"/>
      <c r="B117" s="10"/>
      <c r="C117" s="280"/>
    </row>
    <row r="118" spans="1:9" ht="15.75" x14ac:dyDescent="0.25">
      <c r="A118" s="128" t="s">
        <v>243</v>
      </c>
      <c r="B118" s="10"/>
      <c r="C118" s="280"/>
      <c r="E118" t="s">
        <v>780</v>
      </c>
      <c r="F118" s="437"/>
      <c r="G118" s="437" t="s">
        <v>640</v>
      </c>
      <c r="H118" s="437" t="s">
        <v>641</v>
      </c>
      <c r="I118" s="437"/>
    </row>
    <row r="119" spans="1:9" ht="15.75" x14ac:dyDescent="0.25">
      <c r="A119" s="17" t="s">
        <v>244</v>
      </c>
      <c r="B119" s="17"/>
      <c r="C119" s="415">
        <v>6399287</v>
      </c>
      <c r="E119" s="295">
        <v>3700000</v>
      </c>
      <c r="F119" s="437" t="s">
        <v>642</v>
      </c>
      <c r="G119" s="482">
        <v>-24417</v>
      </c>
      <c r="H119" s="482">
        <v>614622</v>
      </c>
      <c r="I119" s="437"/>
    </row>
    <row r="120" spans="1:9" ht="15.75" x14ac:dyDescent="0.25">
      <c r="A120" s="17"/>
      <c r="B120" s="17" t="s">
        <v>679</v>
      </c>
      <c r="C120" s="415">
        <v>2000000</v>
      </c>
      <c r="F120" s="437" t="s">
        <v>643</v>
      </c>
      <c r="G120" s="482">
        <v>176149</v>
      </c>
      <c r="H120" s="482">
        <v>162647</v>
      </c>
      <c r="I120" s="437"/>
    </row>
    <row r="121" spans="1:9" ht="15.75" x14ac:dyDescent="0.25">
      <c r="A121" s="17" t="s">
        <v>777</v>
      </c>
      <c r="B121" s="17"/>
      <c r="C121" s="415"/>
      <c r="F121" s="437" t="s">
        <v>644</v>
      </c>
      <c r="G121" s="482">
        <v>73857</v>
      </c>
      <c r="H121" s="482"/>
      <c r="I121" s="437"/>
    </row>
    <row r="122" spans="1:9" ht="15.75" x14ac:dyDescent="0.25">
      <c r="A122" s="139"/>
      <c r="B122" s="139" t="s">
        <v>668</v>
      </c>
      <c r="C122" s="413">
        <v>500000</v>
      </c>
      <c r="F122" s="437" t="s">
        <v>645</v>
      </c>
      <c r="G122" s="482">
        <v>1467</v>
      </c>
      <c r="H122" s="482"/>
      <c r="I122" s="437"/>
    </row>
    <row r="123" spans="1:9" ht="15.75" x14ac:dyDescent="0.25">
      <c r="A123" s="139"/>
      <c r="B123" s="139" t="s">
        <v>752</v>
      </c>
      <c r="C123" s="416">
        <v>300000</v>
      </c>
      <c r="F123" s="437" t="s">
        <v>645</v>
      </c>
      <c r="G123" s="482">
        <v>1467</v>
      </c>
      <c r="H123" s="482"/>
      <c r="I123" s="437"/>
    </row>
    <row r="124" spans="1:9" ht="16.5" thickBot="1" x14ac:dyDescent="0.3">
      <c r="A124" s="140"/>
      <c r="B124" s="140" t="s">
        <v>245</v>
      </c>
      <c r="C124" s="330">
        <f>SUM(C119,C122:C123)</f>
        <v>7199287</v>
      </c>
      <c r="F124" s="437" t="s">
        <v>646</v>
      </c>
      <c r="G124" s="482">
        <v>286482</v>
      </c>
      <c r="H124" s="482"/>
      <c r="I124" s="437"/>
    </row>
    <row r="125" spans="1:9" ht="16.5" x14ac:dyDescent="0.25">
      <c r="A125" s="625" t="s">
        <v>246</v>
      </c>
      <c r="B125" s="625"/>
      <c r="C125" s="433">
        <f>SUM(C96,C116,C124)</f>
        <v>252573545</v>
      </c>
      <c r="F125" s="437" t="s">
        <v>647</v>
      </c>
      <c r="G125" s="482">
        <v>5660974</v>
      </c>
      <c r="H125" s="482"/>
      <c r="I125" s="437"/>
    </row>
    <row r="126" spans="1:9" ht="15.75" x14ac:dyDescent="0.25">
      <c r="A126" s="126"/>
      <c r="B126" s="10"/>
      <c r="C126" s="415"/>
      <c r="F126" s="437" t="s">
        <v>648</v>
      </c>
      <c r="G126" s="482">
        <v>29470943</v>
      </c>
      <c r="H126" s="437"/>
      <c r="I126" s="437"/>
    </row>
    <row r="127" spans="1:9" ht="15.75" x14ac:dyDescent="0.25">
      <c r="A127" s="128" t="s">
        <v>247</v>
      </c>
      <c r="B127" s="10"/>
      <c r="C127" s="415"/>
      <c r="F127" s="437" t="s">
        <v>353</v>
      </c>
      <c r="G127" s="482">
        <f>SUM(G119:G126)</f>
        <v>35646922</v>
      </c>
      <c r="H127" s="482">
        <f>SUM(H119:H126)</f>
        <v>777269</v>
      </c>
      <c r="I127" s="482">
        <f ca="1">SUM(G127:I127)</f>
        <v>36422724</v>
      </c>
    </row>
    <row r="128" spans="1:9" ht="15.75" x14ac:dyDescent="0.25">
      <c r="A128" s="126"/>
      <c r="B128" s="10"/>
      <c r="C128" s="415"/>
    </row>
    <row r="129" spans="1:3" ht="19.5" thickBot="1" x14ac:dyDescent="0.35">
      <c r="A129" s="626" t="s">
        <v>248</v>
      </c>
      <c r="B129" s="626"/>
      <c r="C129" s="434">
        <f>C125+C127</f>
        <v>252573545</v>
      </c>
    </row>
    <row r="130" spans="1:3" ht="16.5" thickTop="1" x14ac:dyDescent="0.25">
      <c r="A130" s="126"/>
      <c r="B130" s="10"/>
      <c r="C130" s="280"/>
    </row>
    <row r="131" spans="1:3" ht="15.75" x14ac:dyDescent="0.25">
      <c r="A131" s="621" t="s">
        <v>249</v>
      </c>
      <c r="B131" s="621"/>
      <c r="C131" s="280"/>
    </row>
    <row r="132" spans="1:3" ht="15.75" x14ac:dyDescent="0.25">
      <c r="A132" s="622" t="s">
        <v>250</v>
      </c>
      <c r="B132" s="622"/>
      <c r="C132" s="622"/>
    </row>
    <row r="133" spans="1:3" ht="15.75" x14ac:dyDescent="0.25">
      <c r="A133" s="10"/>
      <c r="B133" s="132" t="s">
        <v>466</v>
      </c>
      <c r="C133" s="415">
        <f>'10.'!H7</f>
        <v>4310642</v>
      </c>
    </row>
    <row r="134" spans="1:3" ht="15.75" x14ac:dyDescent="0.25">
      <c r="A134" s="10"/>
      <c r="B134" s="132" t="s">
        <v>423</v>
      </c>
      <c r="C134" s="415">
        <f>'10.'!H8</f>
        <v>6705294</v>
      </c>
    </row>
    <row r="135" spans="1:3" ht="15.75" x14ac:dyDescent="0.25">
      <c r="A135" s="10"/>
      <c r="B135" s="132" t="s">
        <v>467</v>
      </c>
      <c r="C135" s="415">
        <f>'10.'!H10</f>
        <v>1051575</v>
      </c>
    </row>
    <row r="136" spans="1:3" ht="15.75" x14ac:dyDescent="0.25">
      <c r="A136" s="10"/>
      <c r="B136" s="132" t="s">
        <v>433</v>
      </c>
      <c r="C136" s="415">
        <f>'10.'!H9</f>
        <v>0</v>
      </c>
    </row>
    <row r="137" spans="1:3" ht="15.75" x14ac:dyDescent="0.25">
      <c r="A137" s="126"/>
      <c r="B137" s="132" t="s">
        <v>251</v>
      </c>
      <c r="C137" s="415">
        <f>'10.'!H11</f>
        <v>0</v>
      </c>
    </row>
    <row r="138" spans="1:3" ht="15.75" x14ac:dyDescent="0.25">
      <c r="A138" s="126"/>
      <c r="B138" s="141" t="s">
        <v>252</v>
      </c>
      <c r="C138" s="414">
        <f>SUM(C133:C137)</f>
        <v>12067511</v>
      </c>
    </row>
  </sheetData>
  <mergeCells count="8">
    <mergeCell ref="A131:B131"/>
    <mergeCell ref="A132:C132"/>
    <mergeCell ref="A1:C1"/>
    <mergeCell ref="A2:C2"/>
    <mergeCell ref="A96:B96"/>
    <mergeCell ref="A116:B116"/>
    <mergeCell ref="A125:B125"/>
    <mergeCell ref="A129:B129"/>
  </mergeCells>
  <pageMargins left="0.31496062992125984" right="0.31496062992125984" top="0.35433070866141736" bottom="0.35433070866141736" header="0.31496062992125984" footer="0.31496062992125984"/>
  <pageSetup paperSize="9" orientation="portrait" r:id="rId1"/>
  <headerFooter>
    <oddHeader>&amp;R5. sz. melléklet / &amp;P.oldal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K8" sqref="K8"/>
    </sheetView>
  </sheetViews>
  <sheetFormatPr defaultRowHeight="15" x14ac:dyDescent="0.25"/>
  <cols>
    <col min="1" max="1" width="4.7109375" customWidth="1"/>
    <col min="2" max="2" width="58.28515625" customWidth="1"/>
    <col min="3" max="3" width="8.5703125" customWidth="1"/>
    <col min="4" max="4" width="9.42578125" customWidth="1"/>
    <col min="5" max="5" width="8.5703125" customWidth="1"/>
    <col min="6" max="6" width="9.85546875" customWidth="1"/>
    <col min="7" max="7" width="9" customWidth="1"/>
    <col min="8" max="8" width="8.7109375" customWidth="1"/>
    <col min="9" max="9" width="11.28515625" customWidth="1"/>
    <col min="10" max="10" width="10" customWidth="1"/>
    <col min="11" max="11" width="12.28515625" customWidth="1"/>
    <col min="12" max="12" width="9.42578125" customWidth="1"/>
    <col min="13" max="13" width="10" customWidth="1"/>
    <col min="14" max="14" width="12.85546875" customWidth="1"/>
    <col min="15" max="15" width="7.42578125" customWidth="1"/>
    <col min="16" max="16" width="8" customWidth="1"/>
    <col min="17" max="17" width="10.140625" customWidth="1"/>
    <col min="18" max="18" width="7.140625" customWidth="1"/>
    <col min="19" max="19" width="9.7109375" customWidth="1"/>
    <col min="21" max="21" width="10.42578125" customWidth="1"/>
  </cols>
  <sheetData>
    <row r="1" spans="1:22" ht="15.75" x14ac:dyDescent="0.25">
      <c r="E1" s="431" t="s">
        <v>551</v>
      </c>
      <c r="Q1" s="280"/>
      <c r="R1" s="280" t="s">
        <v>37</v>
      </c>
    </row>
    <row r="3" spans="1:22" ht="59.25" customHeight="1" x14ac:dyDescent="0.25">
      <c r="A3" s="437"/>
      <c r="B3" s="440" t="s">
        <v>552</v>
      </c>
      <c r="C3" s="441" t="s">
        <v>553</v>
      </c>
      <c r="D3" s="441" t="s">
        <v>556</v>
      </c>
      <c r="E3" s="441" t="s">
        <v>554</v>
      </c>
      <c r="F3" s="441" t="s">
        <v>555</v>
      </c>
      <c r="G3" s="441" t="s">
        <v>452</v>
      </c>
      <c r="H3" s="441" t="s">
        <v>453</v>
      </c>
      <c r="I3" s="441" t="s">
        <v>450</v>
      </c>
      <c r="J3" s="441" t="s">
        <v>451</v>
      </c>
      <c r="K3" s="441" t="s">
        <v>561</v>
      </c>
      <c r="L3" s="441" t="s">
        <v>563</v>
      </c>
      <c r="M3" s="441" t="s">
        <v>562</v>
      </c>
      <c r="N3" s="441" t="s">
        <v>557</v>
      </c>
      <c r="O3" s="441" t="s">
        <v>441</v>
      </c>
      <c r="P3" s="441" t="s">
        <v>558</v>
      </c>
      <c r="Q3" s="442" t="s">
        <v>684</v>
      </c>
      <c r="R3" s="442" t="s">
        <v>559</v>
      </c>
      <c r="S3" s="442" t="s">
        <v>353</v>
      </c>
      <c r="U3" s="504" t="s">
        <v>623</v>
      </c>
    </row>
    <row r="4" spans="1:22" ht="15.75" x14ac:dyDescent="0.25">
      <c r="A4" s="438" t="s">
        <v>46</v>
      </c>
      <c r="B4" s="485" t="s">
        <v>191</v>
      </c>
      <c r="C4" s="175"/>
      <c r="D4" s="439"/>
      <c r="E4" s="439">
        <v>378000</v>
      </c>
      <c r="F4" s="439"/>
      <c r="G4" s="439">
        <v>10000</v>
      </c>
      <c r="H4" s="439"/>
      <c r="I4" s="439"/>
      <c r="J4" s="439"/>
      <c r="K4" s="439">
        <v>20000</v>
      </c>
      <c r="L4" s="439"/>
      <c r="M4" s="439"/>
      <c r="N4" s="439"/>
      <c r="O4" s="439"/>
      <c r="P4" s="439"/>
      <c r="Q4" s="439"/>
      <c r="R4" s="439"/>
      <c r="S4" s="439">
        <f t="shared" ref="S4:S9" si="0">SUM(C4:R4)</f>
        <v>408000</v>
      </c>
      <c r="U4" s="457">
        <f>S4</f>
        <v>408000</v>
      </c>
    </row>
    <row r="5" spans="1:22" ht="15.75" x14ac:dyDescent="0.25">
      <c r="A5" s="438" t="s">
        <v>47</v>
      </c>
      <c r="B5" s="485" t="s">
        <v>192</v>
      </c>
      <c r="C5" s="175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>
        <f t="shared" si="0"/>
        <v>0</v>
      </c>
      <c r="U5" s="457">
        <f t="shared" ref="U5:U33" si="1">S5</f>
        <v>0</v>
      </c>
    </row>
    <row r="6" spans="1:22" ht="31.5" x14ac:dyDescent="0.25">
      <c r="A6" s="438" t="s">
        <v>48</v>
      </c>
      <c r="B6" s="485" t="s">
        <v>193</v>
      </c>
      <c r="C6" s="175"/>
      <c r="D6" s="439"/>
      <c r="E6" s="439"/>
      <c r="F6" s="439"/>
      <c r="G6" s="439">
        <v>30000</v>
      </c>
      <c r="H6" s="439"/>
      <c r="I6" s="439"/>
      <c r="J6" s="439"/>
      <c r="K6" s="439"/>
      <c r="L6" s="439">
        <v>600000</v>
      </c>
      <c r="M6" s="439">
        <v>120000</v>
      </c>
      <c r="N6" s="439">
        <v>100000</v>
      </c>
      <c r="O6" s="439">
        <v>260000</v>
      </c>
      <c r="P6" s="439">
        <v>100000</v>
      </c>
      <c r="Q6" s="439"/>
      <c r="R6" s="439"/>
      <c r="S6" s="439">
        <f t="shared" si="0"/>
        <v>1210000</v>
      </c>
      <c r="U6" s="457">
        <f t="shared" si="1"/>
        <v>1210000</v>
      </c>
    </row>
    <row r="7" spans="1:22" ht="15.75" x14ac:dyDescent="0.25">
      <c r="A7" s="438" t="s">
        <v>49</v>
      </c>
      <c r="B7" s="485" t="s">
        <v>194</v>
      </c>
      <c r="C7" s="175"/>
      <c r="D7" s="439"/>
      <c r="E7" s="439"/>
      <c r="F7" s="439"/>
      <c r="G7" s="439">
        <v>20000</v>
      </c>
      <c r="H7" s="439">
        <v>75000</v>
      </c>
      <c r="I7" s="439"/>
      <c r="J7" s="439"/>
      <c r="K7" s="439">
        <v>100000</v>
      </c>
      <c r="L7" s="439"/>
      <c r="M7" s="439">
        <v>30000</v>
      </c>
      <c r="N7" s="439"/>
      <c r="O7" s="439"/>
      <c r="P7" s="439"/>
      <c r="Q7" s="439"/>
      <c r="R7" s="439"/>
      <c r="S7" s="439">
        <f t="shared" si="0"/>
        <v>225000</v>
      </c>
      <c r="U7" s="457">
        <f t="shared" si="1"/>
        <v>225000</v>
      </c>
    </row>
    <row r="8" spans="1:22" ht="15.75" x14ac:dyDescent="0.25">
      <c r="A8" s="174" t="s">
        <v>50</v>
      </c>
      <c r="B8" s="183" t="s">
        <v>548</v>
      </c>
      <c r="C8" s="175">
        <v>500000</v>
      </c>
      <c r="D8" s="439">
        <v>1000000</v>
      </c>
      <c r="E8" s="439"/>
      <c r="F8" s="439"/>
      <c r="G8" s="439"/>
      <c r="H8" s="439">
        <v>400000</v>
      </c>
      <c r="I8" s="439"/>
      <c r="J8" s="439">
        <v>400000</v>
      </c>
      <c r="K8" s="439">
        <v>1000000</v>
      </c>
      <c r="L8" s="175"/>
      <c r="M8" s="175">
        <v>700000</v>
      </c>
      <c r="N8" s="439"/>
      <c r="O8" s="439"/>
      <c r="P8" s="439"/>
      <c r="Q8" s="439"/>
      <c r="R8" s="439"/>
      <c r="S8" s="439">
        <f t="shared" si="0"/>
        <v>4000000</v>
      </c>
      <c r="U8" s="457">
        <f t="shared" si="1"/>
        <v>4000000</v>
      </c>
    </row>
    <row r="9" spans="1:22" ht="31.5" x14ac:dyDescent="0.25">
      <c r="A9" s="438" t="s">
        <v>51</v>
      </c>
      <c r="B9" s="486" t="s">
        <v>569</v>
      </c>
      <c r="C9" s="175"/>
      <c r="D9" s="439"/>
      <c r="E9" s="439"/>
      <c r="F9" s="439"/>
      <c r="G9" s="439">
        <v>20000</v>
      </c>
      <c r="H9" s="439"/>
      <c r="I9" s="439"/>
      <c r="J9" s="439">
        <v>20000</v>
      </c>
      <c r="K9" s="439">
        <v>200000</v>
      </c>
      <c r="L9" s="439"/>
      <c r="M9" s="439"/>
      <c r="N9" s="439">
        <v>100000</v>
      </c>
      <c r="O9" s="439"/>
      <c r="P9" s="439"/>
      <c r="Q9" s="439"/>
      <c r="R9" s="439"/>
      <c r="S9" s="439">
        <f t="shared" si="0"/>
        <v>340000</v>
      </c>
      <c r="U9" s="457">
        <f t="shared" si="1"/>
        <v>340000</v>
      </c>
      <c r="V9" s="282"/>
    </row>
    <row r="10" spans="1:22" ht="15.75" x14ac:dyDescent="0.25">
      <c r="A10" s="438"/>
      <c r="B10" s="487" t="s">
        <v>195</v>
      </c>
      <c r="C10" s="175">
        <f>SUM(C4:C9)</f>
        <v>500000</v>
      </c>
      <c r="D10" s="175">
        <f t="shared" ref="D10:S10" si="2">SUM(D4:D9)</f>
        <v>1000000</v>
      </c>
      <c r="E10" s="175">
        <f t="shared" si="2"/>
        <v>378000</v>
      </c>
      <c r="F10" s="175">
        <f t="shared" si="2"/>
        <v>0</v>
      </c>
      <c r="G10" s="175">
        <f t="shared" si="2"/>
        <v>80000</v>
      </c>
      <c r="H10" s="175">
        <f t="shared" si="2"/>
        <v>475000</v>
      </c>
      <c r="I10" s="175">
        <f t="shared" si="2"/>
        <v>0</v>
      </c>
      <c r="J10" s="175">
        <f t="shared" si="2"/>
        <v>420000</v>
      </c>
      <c r="K10" s="175">
        <f t="shared" si="2"/>
        <v>1320000</v>
      </c>
      <c r="L10" s="175">
        <f t="shared" si="2"/>
        <v>600000</v>
      </c>
      <c r="M10" s="175">
        <f t="shared" si="2"/>
        <v>850000</v>
      </c>
      <c r="N10" s="175">
        <f t="shared" si="2"/>
        <v>200000</v>
      </c>
      <c r="O10" s="175">
        <f t="shared" si="2"/>
        <v>260000</v>
      </c>
      <c r="P10" s="175">
        <f t="shared" si="2"/>
        <v>100000</v>
      </c>
      <c r="Q10" s="175">
        <f t="shared" ref="Q10" si="3">SUM(Q4:Q9)</f>
        <v>0</v>
      </c>
      <c r="R10" s="175">
        <f t="shared" si="2"/>
        <v>0</v>
      </c>
      <c r="S10" s="175">
        <f t="shared" si="2"/>
        <v>6183000</v>
      </c>
      <c r="U10" s="457"/>
      <c r="V10" s="282"/>
    </row>
    <row r="11" spans="1:22" ht="15.75" x14ac:dyDescent="0.25">
      <c r="A11" s="437"/>
      <c r="B11" s="488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201"/>
      <c r="U11" s="457">
        <f t="shared" si="1"/>
        <v>0</v>
      </c>
      <c r="V11" s="282"/>
    </row>
    <row r="12" spans="1:22" ht="15.75" x14ac:dyDescent="0.25">
      <c r="A12" s="438" t="s">
        <v>52</v>
      </c>
      <c r="B12" s="485" t="s">
        <v>196</v>
      </c>
      <c r="C12" s="175"/>
      <c r="D12" s="439"/>
      <c r="E12" s="439"/>
      <c r="F12" s="439"/>
      <c r="G12" s="439">
        <v>50000</v>
      </c>
      <c r="H12" s="439">
        <v>20000</v>
      </c>
      <c r="I12" s="439"/>
      <c r="J12" s="439"/>
      <c r="K12" s="439">
        <v>30000</v>
      </c>
      <c r="L12" s="439"/>
      <c r="M12" s="439"/>
      <c r="N12" s="439">
        <v>40000</v>
      </c>
      <c r="O12" s="439"/>
      <c r="P12" s="439"/>
      <c r="Q12" s="439"/>
      <c r="R12" s="439"/>
      <c r="S12" s="439">
        <f t="shared" ref="S12:S21" si="4">SUM(C12:R12)</f>
        <v>140000</v>
      </c>
      <c r="U12" s="457">
        <f t="shared" si="1"/>
        <v>140000</v>
      </c>
      <c r="V12" s="282"/>
    </row>
    <row r="13" spans="1:22" ht="15.75" x14ac:dyDescent="0.25">
      <c r="A13" s="438" t="s">
        <v>53</v>
      </c>
      <c r="B13" s="485" t="s">
        <v>197</v>
      </c>
      <c r="C13" s="175"/>
      <c r="D13" s="439"/>
      <c r="E13" s="439"/>
      <c r="F13" s="439"/>
      <c r="G13" s="439">
        <v>30000</v>
      </c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>
        <f t="shared" si="4"/>
        <v>30000</v>
      </c>
      <c r="U13" s="457">
        <f t="shared" si="1"/>
        <v>30000</v>
      </c>
    </row>
    <row r="14" spans="1:22" ht="15.75" x14ac:dyDescent="0.25">
      <c r="A14" s="438" t="s">
        <v>54</v>
      </c>
      <c r="B14" s="485" t="s">
        <v>456</v>
      </c>
      <c r="C14" s="175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>
        <f t="shared" si="4"/>
        <v>0</v>
      </c>
      <c r="U14" s="457">
        <f t="shared" si="1"/>
        <v>0</v>
      </c>
    </row>
    <row r="15" spans="1:22" ht="15.75" x14ac:dyDescent="0.25">
      <c r="A15" s="438" t="s">
        <v>55</v>
      </c>
      <c r="B15" s="485" t="s">
        <v>199</v>
      </c>
      <c r="C15" s="175"/>
      <c r="D15" s="439"/>
      <c r="E15" s="439"/>
      <c r="F15" s="439">
        <v>200000</v>
      </c>
      <c r="G15" s="439">
        <v>500000</v>
      </c>
      <c r="H15" s="439"/>
      <c r="I15" s="439"/>
      <c r="J15" s="439"/>
      <c r="K15" s="439">
        <v>250000</v>
      </c>
      <c r="L15" s="439"/>
      <c r="M15" s="439"/>
      <c r="N15" s="439">
        <v>70000</v>
      </c>
      <c r="O15" s="439"/>
      <c r="P15" s="439"/>
      <c r="Q15" s="439"/>
      <c r="R15" s="439"/>
      <c r="S15" s="439">
        <f t="shared" si="4"/>
        <v>1020000</v>
      </c>
      <c r="U15" s="457">
        <f t="shared" si="1"/>
        <v>1020000</v>
      </c>
    </row>
    <row r="16" spans="1:22" ht="15.75" x14ac:dyDescent="0.25">
      <c r="A16" s="438" t="s">
        <v>56</v>
      </c>
      <c r="B16" s="485" t="s">
        <v>200</v>
      </c>
      <c r="C16" s="175"/>
      <c r="D16" s="439"/>
      <c r="E16" s="439"/>
      <c r="F16" s="439">
        <v>50000</v>
      </c>
      <c r="G16" s="439">
        <v>100000</v>
      </c>
      <c r="H16" s="439"/>
      <c r="I16" s="439">
        <v>7000000</v>
      </c>
      <c r="J16" s="439">
        <v>50000</v>
      </c>
      <c r="K16" s="439">
        <v>450000</v>
      </c>
      <c r="L16" s="439"/>
      <c r="M16" s="439"/>
      <c r="N16" s="439">
        <v>100000</v>
      </c>
      <c r="O16" s="439">
        <v>300000</v>
      </c>
      <c r="P16" s="439"/>
      <c r="Q16" s="439"/>
      <c r="R16" s="439"/>
      <c r="S16" s="439">
        <f t="shared" si="4"/>
        <v>8050000</v>
      </c>
      <c r="U16" s="457">
        <f t="shared" si="1"/>
        <v>8050000</v>
      </c>
    </row>
    <row r="17" spans="1:22" ht="15.75" x14ac:dyDescent="0.25">
      <c r="A17" s="438" t="s">
        <v>57</v>
      </c>
      <c r="B17" s="485" t="s">
        <v>201</v>
      </c>
      <c r="C17" s="175"/>
      <c r="D17" s="439"/>
      <c r="E17" s="439"/>
      <c r="F17" s="439"/>
      <c r="G17" s="439">
        <v>20000</v>
      </c>
      <c r="H17" s="439"/>
      <c r="I17" s="439"/>
      <c r="J17" s="439"/>
      <c r="K17" s="439">
        <v>10000</v>
      </c>
      <c r="L17" s="439"/>
      <c r="M17" s="439"/>
      <c r="N17" s="439"/>
      <c r="O17" s="439">
        <v>1100000</v>
      </c>
      <c r="P17" s="439"/>
      <c r="Q17" s="439"/>
      <c r="R17" s="439"/>
      <c r="S17" s="439">
        <f t="shared" si="4"/>
        <v>1130000</v>
      </c>
      <c r="U17" s="457">
        <f t="shared" si="1"/>
        <v>1130000</v>
      </c>
    </row>
    <row r="18" spans="1:22" ht="15.75" x14ac:dyDescent="0.25">
      <c r="A18" s="438" t="s">
        <v>58</v>
      </c>
      <c r="B18" s="485" t="s">
        <v>272</v>
      </c>
      <c r="C18" s="175"/>
      <c r="D18" s="439"/>
      <c r="E18" s="439"/>
      <c r="F18" s="439"/>
      <c r="G18" s="439">
        <v>50000</v>
      </c>
      <c r="H18" s="439">
        <v>20000</v>
      </c>
      <c r="I18" s="439"/>
      <c r="J18" s="439">
        <v>100000</v>
      </c>
      <c r="K18" s="439">
        <v>800000</v>
      </c>
      <c r="L18" s="439"/>
      <c r="M18" s="439">
        <v>350000</v>
      </c>
      <c r="N18" s="439">
        <v>100000</v>
      </c>
      <c r="O18" s="439">
        <v>300000</v>
      </c>
      <c r="P18" s="439"/>
      <c r="Q18" s="439"/>
      <c r="R18" s="439">
        <v>1500000</v>
      </c>
      <c r="S18" s="439">
        <f t="shared" si="4"/>
        <v>3220000</v>
      </c>
      <c r="U18" s="457">
        <f t="shared" si="1"/>
        <v>3220000</v>
      </c>
    </row>
    <row r="19" spans="1:22" ht="15.75" x14ac:dyDescent="0.25">
      <c r="A19" s="438" t="s">
        <v>59</v>
      </c>
      <c r="B19" s="485" t="s">
        <v>544</v>
      </c>
      <c r="C19" s="175">
        <v>140000</v>
      </c>
      <c r="D19" s="439">
        <v>400000</v>
      </c>
      <c r="E19" s="439"/>
      <c r="F19" s="439"/>
      <c r="G19" s="439">
        <v>50000</v>
      </c>
      <c r="H19" s="439">
        <v>40000</v>
      </c>
      <c r="I19" s="439"/>
      <c r="J19" s="439"/>
      <c r="K19" s="439">
        <v>1050000</v>
      </c>
      <c r="L19" s="439"/>
      <c r="M19" s="439">
        <v>300000</v>
      </c>
      <c r="N19" s="439"/>
      <c r="O19" s="439"/>
      <c r="P19" s="439"/>
      <c r="Q19" s="439"/>
      <c r="R19" s="439">
        <v>500000</v>
      </c>
      <c r="S19" s="439">
        <f t="shared" si="4"/>
        <v>2480000</v>
      </c>
      <c r="U19" s="457"/>
    </row>
    <row r="20" spans="1:22" ht="15.75" x14ac:dyDescent="0.25">
      <c r="A20" s="438" t="s">
        <v>60</v>
      </c>
      <c r="B20" s="485" t="s">
        <v>545</v>
      </c>
      <c r="C20" s="175"/>
      <c r="D20" s="439"/>
      <c r="E20" s="439"/>
      <c r="F20" s="439"/>
      <c r="G20" s="439"/>
      <c r="H20" s="439"/>
      <c r="I20" s="439"/>
      <c r="J20" s="439"/>
      <c r="K20" s="439">
        <v>1000000</v>
      </c>
      <c r="L20" s="439"/>
      <c r="M20" s="439"/>
      <c r="N20" s="439"/>
      <c r="O20" s="439"/>
      <c r="P20" s="439"/>
      <c r="Q20" s="439"/>
      <c r="R20" s="439"/>
      <c r="S20" s="439">
        <f t="shared" si="4"/>
        <v>1000000</v>
      </c>
      <c r="U20" s="457">
        <f t="shared" si="1"/>
        <v>1000000</v>
      </c>
    </row>
    <row r="21" spans="1:22" ht="15.75" x14ac:dyDescent="0.25">
      <c r="A21" s="438" t="s">
        <v>61</v>
      </c>
      <c r="B21" s="492" t="s">
        <v>203</v>
      </c>
      <c r="C21" s="175"/>
      <c r="D21" s="439"/>
      <c r="E21" s="439"/>
      <c r="F21" s="439"/>
      <c r="G21" s="439">
        <v>50000</v>
      </c>
      <c r="H21" s="439"/>
      <c r="I21" s="439"/>
      <c r="J21" s="439">
        <v>10000</v>
      </c>
      <c r="K21" s="439">
        <v>755000</v>
      </c>
      <c r="L21" s="439"/>
      <c r="M21" s="439"/>
      <c r="N21" s="439">
        <v>200000</v>
      </c>
      <c r="O21" s="439"/>
      <c r="P21" s="439"/>
      <c r="Q21" s="439"/>
      <c r="R21" s="439">
        <v>1480000</v>
      </c>
      <c r="S21" s="439">
        <f t="shared" si="4"/>
        <v>2495000</v>
      </c>
      <c r="U21" s="457">
        <f t="shared" si="1"/>
        <v>2495000</v>
      </c>
    </row>
    <row r="22" spans="1:22" ht="31.5" customHeight="1" x14ac:dyDescent="0.25">
      <c r="A22" s="484"/>
      <c r="B22" s="494" t="s">
        <v>661</v>
      </c>
      <c r="C22" s="491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U22" s="457">
        <f t="shared" si="1"/>
        <v>0</v>
      </c>
    </row>
    <row r="23" spans="1:22" ht="31.5" x14ac:dyDescent="0.25">
      <c r="A23" s="438" t="s">
        <v>127</v>
      </c>
      <c r="B23" s="493" t="s">
        <v>683</v>
      </c>
      <c r="C23" s="175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>
        <f>SUM('2_A'!C22,SUM('2_A'!C7:C18)/2)</f>
        <v>22699278</v>
      </c>
      <c r="R23" s="439"/>
      <c r="S23" s="439">
        <f>SUM(C23:R23)</f>
        <v>22699278</v>
      </c>
      <c r="U23" s="457">
        <f t="shared" ref="U23" si="5">S23</f>
        <v>22699278</v>
      </c>
    </row>
    <row r="24" spans="1:22" ht="15.75" x14ac:dyDescent="0.25">
      <c r="A24" s="438" t="s">
        <v>129</v>
      </c>
      <c r="B24" s="493" t="s">
        <v>682</v>
      </c>
      <c r="C24" s="175"/>
      <c r="D24" s="439"/>
      <c r="E24" s="439"/>
      <c r="F24" s="439">
        <v>1800000</v>
      </c>
      <c r="G24" s="439">
        <v>50000</v>
      </c>
      <c r="H24" s="439"/>
      <c r="I24" s="439"/>
      <c r="J24" s="439">
        <v>20000</v>
      </c>
      <c r="K24" s="439">
        <v>1015000</v>
      </c>
      <c r="L24" s="439"/>
      <c r="M24" s="439"/>
      <c r="N24" s="439"/>
      <c r="O24" s="439">
        <v>100000</v>
      </c>
      <c r="P24" s="439"/>
      <c r="Q24" s="439"/>
      <c r="R24" s="439"/>
      <c r="S24" s="439">
        <f>SUM(C24:R24)</f>
        <v>2985000</v>
      </c>
      <c r="U24" s="457">
        <f>S24-F24</f>
        <v>1185000</v>
      </c>
      <c r="V24" t="s">
        <v>754</v>
      </c>
    </row>
    <row r="25" spans="1:22" ht="15.75" customHeight="1" x14ac:dyDescent="0.25">
      <c r="A25" s="438" t="s">
        <v>130</v>
      </c>
      <c r="B25" s="485" t="s">
        <v>205</v>
      </c>
      <c r="C25" s="175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>
        <f>SUM(C25:R25)</f>
        <v>0</v>
      </c>
      <c r="U25" s="457">
        <f t="shared" si="1"/>
        <v>0</v>
      </c>
    </row>
    <row r="26" spans="1:22" ht="15.75" x14ac:dyDescent="0.25">
      <c r="A26" s="438"/>
      <c r="B26" s="487" t="s">
        <v>206</v>
      </c>
      <c r="C26" s="175">
        <f t="shared" ref="C26:S26" si="6">SUM(C12:C25)</f>
        <v>140000</v>
      </c>
      <c r="D26" s="175">
        <f t="shared" si="6"/>
        <v>400000</v>
      </c>
      <c r="E26" s="175">
        <f t="shared" si="6"/>
        <v>0</v>
      </c>
      <c r="F26" s="175">
        <f t="shared" si="6"/>
        <v>2050000</v>
      </c>
      <c r="G26" s="175">
        <f t="shared" si="6"/>
        <v>900000</v>
      </c>
      <c r="H26" s="175">
        <f t="shared" si="6"/>
        <v>80000</v>
      </c>
      <c r="I26" s="175">
        <f t="shared" si="6"/>
        <v>7000000</v>
      </c>
      <c r="J26" s="175">
        <f t="shared" si="6"/>
        <v>180000</v>
      </c>
      <c r="K26" s="175">
        <f t="shared" si="6"/>
        <v>5360000</v>
      </c>
      <c r="L26" s="175">
        <f t="shared" si="6"/>
        <v>0</v>
      </c>
      <c r="M26" s="175">
        <f t="shared" si="6"/>
        <v>650000</v>
      </c>
      <c r="N26" s="175">
        <f t="shared" si="6"/>
        <v>510000</v>
      </c>
      <c r="O26" s="175">
        <f t="shared" si="6"/>
        <v>1800000</v>
      </c>
      <c r="P26" s="175">
        <f t="shared" si="6"/>
        <v>0</v>
      </c>
      <c r="Q26" s="175">
        <f t="shared" ref="Q26" si="7">SUM(Q12:Q25)</f>
        <v>22699278</v>
      </c>
      <c r="R26" s="175">
        <f t="shared" si="6"/>
        <v>3480000</v>
      </c>
      <c r="S26" s="175">
        <f t="shared" si="6"/>
        <v>45249278</v>
      </c>
      <c r="U26" s="457"/>
    </row>
    <row r="27" spans="1:22" x14ac:dyDescent="0.25">
      <c r="A27" s="437"/>
      <c r="B27" s="488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201"/>
      <c r="U27" s="457">
        <f t="shared" si="1"/>
        <v>0</v>
      </c>
    </row>
    <row r="28" spans="1:22" ht="15.75" x14ac:dyDescent="0.25">
      <c r="A28" s="438" t="s">
        <v>132</v>
      </c>
      <c r="B28" s="485" t="s">
        <v>207</v>
      </c>
      <c r="C28" s="175">
        <f>ROUND(SUM(C4:C9,C12:C18,C20:C25,C33,)*0.27,-3)</f>
        <v>135000</v>
      </c>
      <c r="D28" s="175">
        <f t="shared" ref="D28:R28" si="8">ROUND(SUM(D4:D9,D12:D18,D20:D25,D33,)*0.27,-3)</f>
        <v>270000</v>
      </c>
      <c r="E28" s="175">
        <f t="shared" si="8"/>
        <v>102000</v>
      </c>
      <c r="F28" s="175">
        <f>ROUND(SUM(F4:F9,F12:F18,F20:F23,F33,)*0.27,-3)</f>
        <v>68000</v>
      </c>
      <c r="G28" s="175">
        <f t="shared" si="8"/>
        <v>251000</v>
      </c>
      <c r="H28" s="175">
        <f t="shared" si="8"/>
        <v>139000</v>
      </c>
      <c r="I28" s="175">
        <f t="shared" si="8"/>
        <v>1890000</v>
      </c>
      <c r="J28" s="175">
        <f t="shared" si="8"/>
        <v>184000</v>
      </c>
      <c r="K28" s="175">
        <f t="shared" si="8"/>
        <v>1574000</v>
      </c>
      <c r="L28" s="175">
        <f t="shared" si="8"/>
        <v>162000</v>
      </c>
      <c r="M28" s="175">
        <f t="shared" si="8"/>
        <v>332000</v>
      </c>
      <c r="N28" s="175">
        <f t="shared" si="8"/>
        <v>192000</v>
      </c>
      <c r="O28" s="175">
        <f t="shared" si="8"/>
        <v>595000</v>
      </c>
      <c r="P28" s="175">
        <f t="shared" si="8"/>
        <v>27000</v>
      </c>
      <c r="Q28" s="175">
        <f t="shared" ref="Q28" si="9">ROUND(SUM(Q4:Q9,Q12:Q18,Q20:Q25,Q33,)*0.27,-3)</f>
        <v>6129000</v>
      </c>
      <c r="R28" s="175">
        <f t="shared" si="8"/>
        <v>805000</v>
      </c>
      <c r="S28" s="439">
        <f t="shared" ref="S28:S33" si="10">SUM(C28:R28)</f>
        <v>12855000</v>
      </c>
      <c r="U28" s="607" t="s">
        <v>759</v>
      </c>
    </row>
    <row r="29" spans="1:22" ht="15.75" customHeight="1" x14ac:dyDescent="0.25">
      <c r="A29" s="438" t="s">
        <v>134</v>
      </c>
      <c r="B29" s="486" t="s">
        <v>566</v>
      </c>
      <c r="C29" s="175"/>
      <c r="D29" s="439"/>
      <c r="E29" s="439"/>
      <c r="F29" s="439">
        <v>67000</v>
      </c>
      <c r="G29" s="439"/>
      <c r="H29" s="439"/>
      <c r="I29" s="439"/>
      <c r="J29" s="439"/>
      <c r="K29" s="439">
        <v>80000</v>
      </c>
      <c r="L29" s="439"/>
      <c r="M29" s="439"/>
      <c r="N29" s="439"/>
      <c r="O29" s="439"/>
      <c r="P29" s="439"/>
      <c r="Q29" s="439"/>
      <c r="R29" s="439">
        <f>'2_A'!F69</f>
        <v>248400</v>
      </c>
      <c r="S29" s="439">
        <f t="shared" si="10"/>
        <v>395400</v>
      </c>
      <c r="U29" s="457"/>
    </row>
    <row r="30" spans="1:22" ht="15.75" customHeight="1" x14ac:dyDescent="0.25">
      <c r="A30" s="438"/>
      <c r="B30" s="10" t="str">
        <f>CONCATENATE("/ Bérleti díjak után befizetendő ÁFA: (",DOLLAR('2_A'!F69,-3),") - Levonható ÁFA: (",DOLLAR(0,-3), ") = ",DOLLAR(('2_A'!F69-0),-3), " /",)</f>
        <v>/ Bérleti díjak után befizetendő ÁFA: (248 000 Ft) - Levonható ÁFA: (0 Ft) = 248 000 Ft /</v>
      </c>
      <c r="C30" s="175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S30" s="439">
        <f t="shared" si="10"/>
        <v>0</v>
      </c>
      <c r="U30" s="457"/>
    </row>
    <row r="31" spans="1:22" ht="15.75" x14ac:dyDescent="0.25">
      <c r="A31" s="438" t="s">
        <v>136</v>
      </c>
      <c r="B31" s="485" t="s">
        <v>208</v>
      </c>
      <c r="C31" s="175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>
        <f t="shared" si="10"/>
        <v>0</v>
      </c>
      <c r="U31" s="457">
        <f t="shared" si="1"/>
        <v>0</v>
      </c>
    </row>
    <row r="32" spans="1:22" ht="15.75" x14ac:dyDescent="0.25">
      <c r="A32" s="438" t="s">
        <v>138</v>
      </c>
      <c r="B32" s="485" t="s">
        <v>209</v>
      </c>
      <c r="C32" s="175"/>
      <c r="D32" s="439"/>
      <c r="E32" s="439"/>
      <c r="F32" s="439"/>
      <c r="G32" s="439"/>
      <c r="H32" s="439"/>
      <c r="I32" s="439"/>
      <c r="J32" s="439"/>
      <c r="K32" s="439">
        <v>100000</v>
      </c>
      <c r="L32" s="439"/>
      <c r="M32" s="439"/>
      <c r="N32" s="439"/>
      <c r="O32" s="439"/>
      <c r="P32" s="439"/>
      <c r="Q32" s="439"/>
      <c r="R32" s="439"/>
      <c r="S32" s="439">
        <f t="shared" si="10"/>
        <v>100000</v>
      </c>
      <c r="U32" s="457"/>
    </row>
    <row r="33" spans="1:22" ht="15.75" x14ac:dyDescent="0.25">
      <c r="A33" s="438" t="s">
        <v>140</v>
      </c>
      <c r="B33" s="485" t="s">
        <v>210</v>
      </c>
      <c r="C33" s="175"/>
      <c r="D33" s="439"/>
      <c r="E33" s="439"/>
      <c r="F33" s="439"/>
      <c r="G33" s="439"/>
      <c r="H33" s="439"/>
      <c r="I33" s="439"/>
      <c r="J33" s="439">
        <v>81000</v>
      </c>
      <c r="K33" s="439">
        <v>200000</v>
      </c>
      <c r="L33" s="439"/>
      <c r="M33" s="439">
        <v>30000</v>
      </c>
      <c r="N33" s="439"/>
      <c r="O33" s="439">
        <v>145000</v>
      </c>
      <c r="P33" s="439"/>
      <c r="Q33" s="439"/>
      <c r="R33" s="439"/>
      <c r="S33" s="439">
        <f t="shared" si="10"/>
        <v>456000</v>
      </c>
      <c r="U33" s="457">
        <f t="shared" si="1"/>
        <v>456000</v>
      </c>
    </row>
    <row r="34" spans="1:22" ht="15.75" x14ac:dyDescent="0.25">
      <c r="A34" s="438"/>
      <c r="B34" s="487" t="s">
        <v>211</v>
      </c>
      <c r="C34" s="175">
        <f t="shared" ref="C34:S34" si="11">SUM(C28:C33)</f>
        <v>135000</v>
      </c>
      <c r="D34" s="175">
        <f t="shared" si="11"/>
        <v>270000</v>
      </c>
      <c r="E34" s="175">
        <f t="shared" si="11"/>
        <v>102000</v>
      </c>
      <c r="F34" s="175">
        <f t="shared" si="11"/>
        <v>135000</v>
      </c>
      <c r="G34" s="175">
        <f t="shared" si="11"/>
        <v>251000</v>
      </c>
      <c r="H34" s="175">
        <f t="shared" si="11"/>
        <v>139000</v>
      </c>
      <c r="I34" s="175">
        <f t="shared" si="11"/>
        <v>1890000</v>
      </c>
      <c r="J34" s="175">
        <f t="shared" si="11"/>
        <v>265000</v>
      </c>
      <c r="K34" s="175">
        <f t="shared" si="11"/>
        <v>1954000</v>
      </c>
      <c r="L34" s="175">
        <f t="shared" si="11"/>
        <v>162000</v>
      </c>
      <c r="M34" s="175">
        <f t="shared" si="11"/>
        <v>362000</v>
      </c>
      <c r="N34" s="175">
        <f t="shared" si="11"/>
        <v>192000</v>
      </c>
      <c r="O34" s="175">
        <f t="shared" si="11"/>
        <v>740000</v>
      </c>
      <c r="P34" s="175">
        <f t="shared" si="11"/>
        <v>27000</v>
      </c>
      <c r="Q34" s="175">
        <f t="shared" ref="Q34" si="12">SUM(Q28:Q33)</f>
        <v>6129000</v>
      </c>
      <c r="R34" s="175">
        <f t="shared" si="11"/>
        <v>1053400</v>
      </c>
      <c r="S34" s="175">
        <f t="shared" si="11"/>
        <v>13806400</v>
      </c>
      <c r="U34" s="457"/>
    </row>
    <row r="35" spans="1:22" x14ac:dyDescent="0.25">
      <c r="A35" s="437"/>
      <c r="B35" s="488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201"/>
      <c r="T35" t="s">
        <v>610</v>
      </c>
      <c r="U35" s="457">
        <f>SUM(U4:U34)*0.27</f>
        <v>12854235.060000001</v>
      </c>
    </row>
    <row r="36" spans="1:22" ht="15.75" x14ac:dyDescent="0.25">
      <c r="A36" s="438" t="s">
        <v>141</v>
      </c>
      <c r="B36" s="485" t="s">
        <v>212</v>
      </c>
      <c r="C36" s="175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>
        <f>SUM(C36:R36)</f>
        <v>0</v>
      </c>
    </row>
    <row r="37" spans="1:22" ht="15.75" x14ac:dyDescent="0.25">
      <c r="A37" s="438" t="s">
        <v>142</v>
      </c>
      <c r="B37" s="485" t="s">
        <v>213</v>
      </c>
      <c r="C37" s="175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>
        <f>SUM(C37:R37)</f>
        <v>0</v>
      </c>
    </row>
    <row r="38" spans="1:22" ht="15.75" x14ac:dyDescent="0.25">
      <c r="A38" s="438" t="s">
        <v>143</v>
      </c>
      <c r="B38" s="485" t="s">
        <v>214</v>
      </c>
      <c r="C38" s="175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>
        <v>60000</v>
      </c>
      <c r="O38" s="439"/>
      <c r="P38" s="439"/>
      <c r="Q38" s="439"/>
      <c r="R38" s="439"/>
      <c r="S38" s="439">
        <f>SUM(C38:R38)</f>
        <v>60000</v>
      </c>
    </row>
    <row r="39" spans="1:22" ht="15.75" x14ac:dyDescent="0.25">
      <c r="A39" s="438" t="s">
        <v>144</v>
      </c>
      <c r="B39" s="485" t="s">
        <v>215</v>
      </c>
      <c r="C39" s="175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>
        <f>SUM(C39:R39)</f>
        <v>0</v>
      </c>
    </row>
    <row r="40" spans="1:22" ht="15.75" x14ac:dyDescent="0.25">
      <c r="A40" s="438" t="s">
        <v>145</v>
      </c>
      <c r="B40" s="485" t="s">
        <v>760</v>
      </c>
      <c r="C40" s="175"/>
      <c r="D40" s="439"/>
      <c r="E40" s="439"/>
      <c r="F40" s="439"/>
      <c r="G40" s="439"/>
      <c r="H40" s="439"/>
      <c r="I40" s="439"/>
      <c r="J40" s="439"/>
      <c r="K40" s="439">
        <v>49358858</v>
      </c>
      <c r="L40" s="439"/>
      <c r="M40" s="439"/>
      <c r="N40" s="439"/>
      <c r="O40" s="439"/>
      <c r="P40" s="439"/>
      <c r="Q40" s="439"/>
      <c r="R40" s="439"/>
      <c r="S40" s="439">
        <f>SUM(C40:R40)</f>
        <v>49358858</v>
      </c>
      <c r="V40" s="537" t="s">
        <v>761</v>
      </c>
    </row>
    <row r="41" spans="1:22" ht="15.75" x14ac:dyDescent="0.25">
      <c r="A41" s="438"/>
      <c r="B41" s="487" t="s">
        <v>216</v>
      </c>
      <c r="C41" s="175">
        <f>SUM(C36:C40)</f>
        <v>0</v>
      </c>
      <c r="D41" s="175">
        <f t="shared" ref="D41:S41" si="13">SUM(D36:D40)</f>
        <v>0</v>
      </c>
      <c r="E41" s="175">
        <f t="shared" si="13"/>
        <v>0</v>
      </c>
      <c r="F41" s="175">
        <f t="shared" si="13"/>
        <v>0</v>
      </c>
      <c r="G41" s="175">
        <f t="shared" si="13"/>
        <v>0</v>
      </c>
      <c r="H41" s="175">
        <f t="shared" si="13"/>
        <v>0</v>
      </c>
      <c r="I41" s="175">
        <f t="shared" si="13"/>
        <v>0</v>
      </c>
      <c r="J41" s="175">
        <f t="shared" si="13"/>
        <v>0</v>
      </c>
      <c r="K41" s="175">
        <f t="shared" si="13"/>
        <v>49358858</v>
      </c>
      <c r="L41" s="175">
        <f t="shared" si="13"/>
        <v>0</v>
      </c>
      <c r="M41" s="175">
        <f t="shared" si="13"/>
        <v>0</v>
      </c>
      <c r="N41" s="175">
        <f t="shared" si="13"/>
        <v>60000</v>
      </c>
      <c r="O41" s="175">
        <f t="shared" si="13"/>
        <v>0</v>
      </c>
      <c r="P41" s="175">
        <f t="shared" si="13"/>
        <v>0</v>
      </c>
      <c r="Q41" s="175">
        <f t="shared" ref="Q41" si="14">SUM(Q36:Q40)</f>
        <v>0</v>
      </c>
      <c r="R41" s="175">
        <f t="shared" si="13"/>
        <v>0</v>
      </c>
      <c r="S41" s="175">
        <f t="shared" si="13"/>
        <v>49418858</v>
      </c>
    </row>
    <row r="42" spans="1:22" x14ac:dyDescent="0.25">
      <c r="A42" s="437"/>
      <c r="B42" s="488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201"/>
    </row>
    <row r="43" spans="1:22" ht="15.75" x14ac:dyDescent="0.25">
      <c r="A43" s="438"/>
      <c r="B43" s="489" t="s">
        <v>217</v>
      </c>
      <c r="C43" s="185">
        <f t="shared" ref="C43:S43" si="15">SUM(C10,C26,C34,C41)</f>
        <v>775000</v>
      </c>
      <c r="D43" s="185">
        <f t="shared" si="15"/>
        <v>1670000</v>
      </c>
      <c r="E43" s="185">
        <f t="shared" si="15"/>
        <v>480000</v>
      </c>
      <c r="F43" s="185">
        <f t="shared" si="15"/>
        <v>2185000</v>
      </c>
      <c r="G43" s="185">
        <f t="shared" si="15"/>
        <v>1231000</v>
      </c>
      <c r="H43" s="185">
        <f t="shared" si="15"/>
        <v>694000</v>
      </c>
      <c r="I43" s="185">
        <f t="shared" si="15"/>
        <v>8890000</v>
      </c>
      <c r="J43" s="185">
        <f t="shared" si="15"/>
        <v>865000</v>
      </c>
      <c r="K43" s="185">
        <f t="shared" si="15"/>
        <v>57992858</v>
      </c>
      <c r="L43" s="185">
        <f t="shared" si="15"/>
        <v>762000</v>
      </c>
      <c r="M43" s="185">
        <f t="shared" si="15"/>
        <v>1862000</v>
      </c>
      <c r="N43" s="185">
        <f t="shared" si="15"/>
        <v>962000</v>
      </c>
      <c r="O43" s="185">
        <f t="shared" si="15"/>
        <v>2800000</v>
      </c>
      <c r="P43" s="185">
        <f t="shared" si="15"/>
        <v>127000</v>
      </c>
      <c r="Q43" s="185">
        <f t="shared" ref="Q43" si="16">SUM(Q10,Q26,Q34,Q41)</f>
        <v>28828278</v>
      </c>
      <c r="R43" s="185">
        <f t="shared" si="15"/>
        <v>4533400</v>
      </c>
      <c r="S43" s="185">
        <f t="shared" si="15"/>
        <v>114657536</v>
      </c>
    </row>
    <row r="46" spans="1:22" x14ac:dyDescent="0.25">
      <c r="B46" t="str">
        <f>CONCATENATE("A Vásárolt szolgáltatások az étkezési rezsi költség (",DOLLAR('2_A'!C22,-3),") + az étkező gyerekek fele várhatóan 50-100%-os ingyenes étkezik, ez az összeg: (",DOLLAR(SUM('2_A'!C7:C18)/2,-3),")",)</f>
        <v>A Vásárolt szolgáltatások az étkezési rezsi költség (16 533 000 Ft) + az étkező gyerekek fele várhatóan 50-100%-os ingyenes étkezik, ez az összeg: (6 166 000 Ft)</v>
      </c>
    </row>
    <row r="47" spans="1:22" x14ac:dyDescent="0.25">
      <c r="B47" t="str">
        <f>CONCATENATE("Ez eggyüttesen: (",DOLLAR(Q23,-3), ") +ÁFA (",DOLLAR((Q23*0.27),-3),")  összesen = ",  DOLLAR((Q23*1.27),-3))</f>
        <v>Ez eggyüttesen: (22 699 000 Ft) +ÁFA (6 129 000 Ft)  összesen = 28 828 000 Ft</v>
      </c>
    </row>
  </sheetData>
  <pageMargins left="0.31496062992125984" right="0.31496062992125984" top="0.74803149606299213" bottom="0.74803149606299213" header="0.31496062992125984" footer="0.31496062992125984"/>
  <pageSetup paperSize="8" scale="90" orientation="landscape" r:id="rId1"/>
  <headerFooter>
    <oddHeader>&amp;R5./A. sz. melléklet / &amp;P.oldal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C52" sqref="C52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6" max="6" width="10.85546875" customWidth="1"/>
    <col min="7" max="7" width="25.85546875" customWidth="1"/>
    <col min="13" max="13" width="23.28515625" customWidth="1"/>
  </cols>
  <sheetData>
    <row r="1" spans="1:5" ht="18.75" x14ac:dyDescent="0.3">
      <c r="A1" s="623" t="s">
        <v>531</v>
      </c>
      <c r="B1" s="623"/>
      <c r="C1" s="623"/>
    </row>
    <row r="2" spans="1:5" ht="18.75" x14ac:dyDescent="0.3">
      <c r="A2" s="623">
        <v>2013</v>
      </c>
      <c r="B2" s="623"/>
      <c r="C2" s="623"/>
    </row>
    <row r="3" spans="1:5" ht="15.75" x14ac:dyDescent="0.25">
      <c r="A3" s="126"/>
      <c r="B3" s="10"/>
      <c r="C3" s="147" t="s">
        <v>37</v>
      </c>
    </row>
    <row r="4" spans="1:5" ht="15.75" x14ac:dyDescent="0.25">
      <c r="A4" s="128" t="s">
        <v>183</v>
      </c>
      <c r="B4" s="10"/>
      <c r="C4" s="147"/>
    </row>
    <row r="5" spans="1:5" ht="15.75" x14ac:dyDescent="0.25">
      <c r="A5" s="126" t="s">
        <v>46</v>
      </c>
      <c r="B5" s="148" t="s">
        <v>527</v>
      </c>
      <c r="C5" s="413">
        <v>29976000</v>
      </c>
      <c r="E5" t="s">
        <v>670</v>
      </c>
    </row>
    <row r="6" spans="1:5" ht="15.75" x14ac:dyDescent="0.25">
      <c r="A6" s="126" t="s">
        <v>47</v>
      </c>
      <c r="B6" s="148" t="s">
        <v>567</v>
      </c>
      <c r="C6" s="413">
        <v>140000</v>
      </c>
    </row>
    <row r="7" spans="1:5" ht="15.75" x14ac:dyDescent="0.25">
      <c r="A7" s="126" t="s">
        <v>48</v>
      </c>
      <c r="B7" s="418" t="s">
        <v>526</v>
      </c>
      <c r="C7" s="413"/>
      <c r="E7" t="s">
        <v>543</v>
      </c>
    </row>
    <row r="8" spans="1:5" ht="15.75" x14ac:dyDescent="0.25">
      <c r="A8" s="126"/>
      <c r="B8" s="11" t="s">
        <v>184</v>
      </c>
      <c r="C8" s="414">
        <f>SUM(C5:C7)</f>
        <v>30116000</v>
      </c>
    </row>
    <row r="9" spans="1:5" ht="15.75" x14ac:dyDescent="0.25">
      <c r="A9" s="126"/>
      <c r="B9" s="10"/>
      <c r="C9" s="415"/>
    </row>
    <row r="10" spans="1:5" ht="15.75" x14ac:dyDescent="0.25">
      <c r="A10" s="128" t="s">
        <v>185</v>
      </c>
      <c r="B10" s="10"/>
      <c r="C10" s="415"/>
    </row>
    <row r="11" spans="1:5" ht="15.75" x14ac:dyDescent="0.25">
      <c r="A11" s="126" t="s">
        <v>46</v>
      </c>
      <c r="B11" s="148" t="s">
        <v>260</v>
      </c>
      <c r="C11" s="413">
        <v>240000</v>
      </c>
    </row>
    <row r="12" spans="1:5" ht="15.75" x14ac:dyDescent="0.25">
      <c r="A12" s="126" t="s">
        <v>47</v>
      </c>
      <c r="B12" s="148" t="s">
        <v>454</v>
      </c>
      <c r="C12" s="413">
        <v>1409000</v>
      </c>
    </row>
    <row r="13" spans="1:5" ht="15.75" x14ac:dyDescent="0.25">
      <c r="A13" s="126" t="s">
        <v>48</v>
      </c>
      <c r="B13" s="149" t="s">
        <v>542</v>
      </c>
      <c r="C13" s="416">
        <v>2000000</v>
      </c>
    </row>
    <row r="14" spans="1:5" ht="15.75" x14ac:dyDescent="0.25">
      <c r="A14" s="126"/>
      <c r="B14" s="11" t="s">
        <v>265</v>
      </c>
      <c r="C14" s="330">
        <f>SUM(C11:C13)</f>
        <v>3649000</v>
      </c>
    </row>
    <row r="15" spans="1:5" ht="15.75" x14ac:dyDescent="0.25">
      <c r="A15" s="126"/>
      <c r="B15" s="128"/>
      <c r="C15" s="415"/>
    </row>
    <row r="16" spans="1:5" ht="15.75" x14ac:dyDescent="0.25">
      <c r="A16" s="128" t="s">
        <v>186</v>
      </c>
      <c r="B16" s="10"/>
      <c r="C16" s="415"/>
    </row>
    <row r="17" spans="1:6" ht="15.75" x14ac:dyDescent="0.25">
      <c r="A17" s="126" t="s">
        <v>46</v>
      </c>
      <c r="B17" s="10" t="s">
        <v>266</v>
      </c>
      <c r="C17" s="413"/>
    </row>
    <row r="18" spans="1:6" ht="15.75" x14ac:dyDescent="0.25">
      <c r="A18" s="126" t="s">
        <v>47</v>
      </c>
      <c r="B18" s="10" t="s">
        <v>267</v>
      </c>
      <c r="C18" s="413"/>
    </row>
    <row r="19" spans="1:6" ht="15.75" x14ac:dyDescent="0.25">
      <c r="A19" s="126" t="s">
        <v>48</v>
      </c>
      <c r="B19" s="132" t="s">
        <v>268</v>
      </c>
      <c r="C19" s="416"/>
    </row>
    <row r="20" spans="1:6" ht="15.75" x14ac:dyDescent="0.25">
      <c r="A20" s="133"/>
      <c r="B20" s="134" t="s">
        <v>269</v>
      </c>
      <c r="C20" s="330">
        <f>SUM(C17:C19)</f>
        <v>0</v>
      </c>
    </row>
    <row r="21" spans="1:6" ht="16.5" thickBot="1" x14ac:dyDescent="0.3">
      <c r="A21" s="126"/>
      <c r="B21" s="10"/>
      <c r="C21" s="415"/>
      <c r="E21" t="s">
        <v>525</v>
      </c>
    </row>
    <row r="22" spans="1:6" ht="16.5" x14ac:dyDescent="0.25">
      <c r="A22" s="150" t="s">
        <v>187</v>
      </c>
      <c r="B22" s="151"/>
      <c r="C22" s="417">
        <f>C8+C14+C20</f>
        <v>33765000</v>
      </c>
      <c r="E22">
        <v>35483</v>
      </c>
    </row>
    <row r="23" spans="1:6" ht="15.75" x14ac:dyDescent="0.25">
      <c r="A23" s="126"/>
      <c r="B23" s="10"/>
      <c r="C23" s="280"/>
    </row>
    <row r="24" spans="1:6" ht="15.75" x14ac:dyDescent="0.25">
      <c r="A24" s="128" t="s">
        <v>188</v>
      </c>
      <c r="B24" s="10"/>
      <c r="C24" s="280"/>
    </row>
    <row r="25" spans="1:6" ht="15.75" x14ac:dyDescent="0.25">
      <c r="A25" s="126" t="s">
        <v>46</v>
      </c>
      <c r="B25" s="10" t="s">
        <v>270</v>
      </c>
      <c r="C25" s="413">
        <f>ROUND(SUM(C8,C13,)*0.27,-3)</f>
        <v>8671000</v>
      </c>
      <c r="F25" s="413"/>
    </row>
    <row r="26" spans="1:6" ht="15.75" x14ac:dyDescent="0.25">
      <c r="A26" s="126" t="s">
        <v>47</v>
      </c>
      <c r="B26" s="10" t="s">
        <v>271</v>
      </c>
      <c r="C26" s="413">
        <v>0</v>
      </c>
    </row>
    <row r="27" spans="1:6" ht="15.75" x14ac:dyDescent="0.25">
      <c r="A27" s="138"/>
      <c r="B27" s="134" t="s">
        <v>189</v>
      </c>
      <c r="C27" s="414">
        <f>SUM(C25:C26)</f>
        <v>8671000</v>
      </c>
      <c r="E27">
        <v>10577</v>
      </c>
    </row>
    <row r="28" spans="1:6" ht="15.75" x14ac:dyDescent="0.25">
      <c r="A28" s="10"/>
      <c r="B28" s="135"/>
      <c r="C28" s="283"/>
    </row>
    <row r="29" spans="1:6" ht="15.75" x14ac:dyDescent="0.25">
      <c r="A29" s="128" t="s">
        <v>190</v>
      </c>
      <c r="B29" s="10"/>
      <c r="C29" s="280"/>
      <c r="E29" t="s">
        <v>623</v>
      </c>
    </row>
    <row r="30" spans="1:6" ht="15.75" x14ac:dyDescent="0.25">
      <c r="A30" s="126" t="s">
        <v>46</v>
      </c>
      <c r="B30" s="10" t="s">
        <v>191</v>
      </c>
      <c r="C30" s="413">
        <v>750000</v>
      </c>
      <c r="E30" s="457">
        <f>C30</f>
        <v>750000</v>
      </c>
    </row>
    <row r="31" spans="1:6" ht="15.75" x14ac:dyDescent="0.25">
      <c r="A31" s="126" t="s">
        <v>47</v>
      </c>
      <c r="B31" s="10" t="s">
        <v>192</v>
      </c>
      <c r="C31" s="413">
        <v>85000</v>
      </c>
      <c r="E31" s="457">
        <f t="shared" ref="E31:E48" si="0">C31</f>
        <v>85000</v>
      </c>
    </row>
    <row r="32" spans="1:6" ht="15.75" x14ac:dyDescent="0.25">
      <c r="A32" s="126" t="s">
        <v>48</v>
      </c>
      <c r="B32" s="10" t="s">
        <v>193</v>
      </c>
      <c r="C32" s="413">
        <v>165000</v>
      </c>
      <c r="E32" s="457">
        <f t="shared" si="0"/>
        <v>165000</v>
      </c>
    </row>
    <row r="33" spans="1:5" ht="15.75" x14ac:dyDescent="0.25">
      <c r="A33" s="126" t="s">
        <v>49</v>
      </c>
      <c r="B33" s="10" t="s">
        <v>569</v>
      </c>
      <c r="C33" s="416">
        <v>250000</v>
      </c>
      <c r="E33" s="457">
        <f t="shared" si="0"/>
        <v>250000</v>
      </c>
    </row>
    <row r="34" spans="1:5" ht="15.75" x14ac:dyDescent="0.25">
      <c r="A34" s="126"/>
      <c r="B34" s="11" t="s">
        <v>195</v>
      </c>
      <c r="C34" s="27">
        <f>SUM(C30:C33)</f>
        <v>1250000</v>
      </c>
      <c r="E34" s="457"/>
    </row>
    <row r="35" spans="1:5" ht="15.75" x14ac:dyDescent="0.25">
      <c r="A35" s="126"/>
      <c r="B35" s="10"/>
      <c r="C35" s="282"/>
      <c r="E35" s="457">
        <f t="shared" si="0"/>
        <v>0</v>
      </c>
    </row>
    <row r="36" spans="1:5" ht="15.75" x14ac:dyDescent="0.25">
      <c r="A36" s="126" t="s">
        <v>50</v>
      </c>
      <c r="B36" s="10" t="s">
        <v>455</v>
      </c>
      <c r="C36" s="413">
        <v>620000</v>
      </c>
      <c r="E36" s="457">
        <f t="shared" si="0"/>
        <v>620000</v>
      </c>
    </row>
    <row r="37" spans="1:5" ht="15.75" x14ac:dyDescent="0.25">
      <c r="A37" s="126" t="s">
        <v>51</v>
      </c>
      <c r="B37" s="10" t="s">
        <v>198</v>
      </c>
      <c r="C37" s="413">
        <v>684000</v>
      </c>
      <c r="E37" s="457">
        <f t="shared" si="0"/>
        <v>684000</v>
      </c>
    </row>
    <row r="38" spans="1:5" ht="15.75" x14ac:dyDescent="0.25">
      <c r="A38" s="126" t="s">
        <v>52</v>
      </c>
      <c r="B38" s="10" t="s">
        <v>456</v>
      </c>
      <c r="C38" s="413">
        <v>236000</v>
      </c>
      <c r="E38" s="457">
        <f t="shared" si="0"/>
        <v>236000</v>
      </c>
    </row>
    <row r="39" spans="1:5" ht="15.75" x14ac:dyDescent="0.25">
      <c r="A39" s="126" t="s">
        <v>53</v>
      </c>
      <c r="B39" s="10" t="s">
        <v>199</v>
      </c>
      <c r="C39" s="413">
        <v>800000</v>
      </c>
      <c r="E39" s="457">
        <f t="shared" si="0"/>
        <v>800000</v>
      </c>
    </row>
    <row r="40" spans="1:5" ht="15.75" x14ac:dyDescent="0.25">
      <c r="A40" s="126" t="s">
        <v>54</v>
      </c>
      <c r="B40" s="10" t="s">
        <v>200</v>
      </c>
      <c r="C40" s="413">
        <v>630000</v>
      </c>
      <c r="E40" s="457">
        <f t="shared" si="0"/>
        <v>630000</v>
      </c>
    </row>
    <row r="41" spans="1:5" ht="15.75" x14ac:dyDescent="0.25">
      <c r="A41" s="126" t="s">
        <v>55</v>
      </c>
      <c r="B41" s="10" t="s">
        <v>201</v>
      </c>
      <c r="C41" s="413">
        <v>32000</v>
      </c>
      <c r="E41" s="457">
        <f t="shared" si="0"/>
        <v>32000</v>
      </c>
    </row>
    <row r="42" spans="1:5" ht="15.75" x14ac:dyDescent="0.25">
      <c r="A42" s="126" t="s">
        <v>56</v>
      </c>
      <c r="B42" s="10" t="s">
        <v>272</v>
      </c>
      <c r="C42" s="413">
        <v>500000</v>
      </c>
      <c r="E42" s="457">
        <f t="shared" si="0"/>
        <v>500000</v>
      </c>
    </row>
    <row r="43" spans="1:5" ht="15.75" x14ac:dyDescent="0.25">
      <c r="A43" s="126" t="s">
        <v>57</v>
      </c>
      <c r="B43" s="10" t="s">
        <v>546</v>
      </c>
      <c r="C43" s="413">
        <v>2000000</v>
      </c>
      <c r="E43" s="457"/>
    </row>
    <row r="44" spans="1:5" ht="15.75" x14ac:dyDescent="0.25">
      <c r="A44" s="126" t="s">
        <v>58</v>
      </c>
      <c r="B44" s="10" t="s">
        <v>203</v>
      </c>
      <c r="C44" s="413">
        <v>1700000</v>
      </c>
      <c r="E44" s="457">
        <f t="shared" si="0"/>
        <v>1700000</v>
      </c>
    </row>
    <row r="45" spans="1:5" ht="15.75" x14ac:dyDescent="0.25">
      <c r="A45" s="126"/>
      <c r="B45" s="10" t="s">
        <v>547</v>
      </c>
      <c r="C45" s="413"/>
      <c r="E45" s="457">
        <f t="shared" si="0"/>
        <v>0</v>
      </c>
    </row>
    <row r="46" spans="1:5" ht="15.75" x14ac:dyDescent="0.25">
      <c r="A46" s="126" t="s">
        <v>59</v>
      </c>
      <c r="B46" s="10" t="s">
        <v>204</v>
      </c>
      <c r="C46" s="415">
        <v>0</v>
      </c>
      <c r="E46" s="457">
        <f t="shared" si="0"/>
        <v>0</v>
      </c>
    </row>
    <row r="47" spans="1:5" ht="15.75" x14ac:dyDescent="0.25">
      <c r="A47" s="126" t="s">
        <v>60</v>
      </c>
      <c r="B47" s="12" t="s">
        <v>545</v>
      </c>
      <c r="C47" s="415"/>
      <c r="E47" s="457">
        <f t="shared" si="0"/>
        <v>0</v>
      </c>
    </row>
    <row r="48" spans="1:5" ht="15.75" x14ac:dyDescent="0.25">
      <c r="A48" s="126" t="s">
        <v>61</v>
      </c>
      <c r="B48" s="132" t="s">
        <v>205</v>
      </c>
      <c r="C48" s="416"/>
      <c r="E48" s="457">
        <f t="shared" si="0"/>
        <v>0</v>
      </c>
    </row>
    <row r="49" spans="1:5" ht="15.75" x14ac:dyDescent="0.25">
      <c r="A49" s="126"/>
      <c r="B49" s="11" t="s">
        <v>206</v>
      </c>
      <c r="C49" s="27">
        <f>SUM(C36:C48)</f>
        <v>7202000</v>
      </c>
    </row>
    <row r="50" spans="1:5" ht="16.5" thickBot="1" x14ac:dyDescent="0.3">
      <c r="A50" s="126"/>
      <c r="B50" s="10"/>
      <c r="C50" s="282"/>
    </row>
    <row r="51" spans="1:5" ht="16.5" thickBot="1" x14ac:dyDescent="0.3">
      <c r="A51" s="126" t="s">
        <v>127</v>
      </c>
      <c r="B51" s="10" t="s">
        <v>207</v>
      </c>
      <c r="C51" s="413">
        <f>E51</f>
        <v>1742000</v>
      </c>
      <c r="E51" s="466">
        <f>ROUND((SUM(E30:E48)*0.27),-3)</f>
        <v>1742000</v>
      </c>
    </row>
    <row r="52" spans="1:5" ht="15.75" x14ac:dyDescent="0.25">
      <c r="A52" s="126" t="s">
        <v>129</v>
      </c>
      <c r="B52" s="10" t="s">
        <v>566</v>
      </c>
      <c r="C52" s="413"/>
    </row>
    <row r="53" spans="1:5" ht="15.75" x14ac:dyDescent="0.25">
      <c r="A53" s="126" t="s">
        <v>130</v>
      </c>
      <c r="B53" s="10" t="s">
        <v>209</v>
      </c>
      <c r="C53" s="413">
        <v>200000</v>
      </c>
    </row>
    <row r="54" spans="1:5" ht="15.75" x14ac:dyDescent="0.25">
      <c r="A54" s="126" t="s">
        <v>132</v>
      </c>
      <c r="B54" s="10" t="s">
        <v>210</v>
      </c>
      <c r="C54" s="416">
        <v>200000</v>
      </c>
    </row>
    <row r="55" spans="1:5" ht="15.75" x14ac:dyDescent="0.25">
      <c r="A55" s="126"/>
      <c r="B55" s="11" t="s">
        <v>211</v>
      </c>
      <c r="C55" s="27">
        <f>SUM(C51:C54)</f>
        <v>2142000</v>
      </c>
    </row>
    <row r="56" spans="1:5" ht="15.75" x14ac:dyDescent="0.25">
      <c r="A56" s="126"/>
      <c r="B56" s="10"/>
      <c r="C56" s="282"/>
    </row>
    <row r="57" spans="1:5" ht="15.75" x14ac:dyDescent="0.25">
      <c r="A57" s="126" t="s">
        <v>134</v>
      </c>
      <c r="B57" s="10" t="s">
        <v>212</v>
      </c>
      <c r="C57" s="282"/>
    </row>
    <row r="58" spans="1:5" ht="15.75" x14ac:dyDescent="0.25">
      <c r="A58" s="126" t="s">
        <v>136</v>
      </c>
      <c r="B58" s="10" t="s">
        <v>213</v>
      </c>
      <c r="C58" s="280"/>
    </row>
    <row r="59" spans="1:5" ht="15.75" x14ac:dyDescent="0.25">
      <c r="A59" s="126" t="s">
        <v>138</v>
      </c>
      <c r="B59" s="10" t="s">
        <v>669</v>
      </c>
      <c r="C59" s="413">
        <v>1600000</v>
      </c>
    </row>
    <row r="60" spans="1:5" ht="15.75" x14ac:dyDescent="0.25">
      <c r="A60" s="126" t="s">
        <v>140</v>
      </c>
      <c r="B60" s="10" t="s">
        <v>215</v>
      </c>
      <c r="C60" s="413"/>
    </row>
    <row r="61" spans="1:5" ht="15.75" x14ac:dyDescent="0.25">
      <c r="A61" s="133"/>
      <c r="B61" s="134" t="s">
        <v>216</v>
      </c>
      <c r="C61" s="414">
        <f>SUM(C57:C60)</f>
        <v>1600000</v>
      </c>
    </row>
    <row r="62" spans="1:5" ht="16.5" thickBot="1" x14ac:dyDescent="0.3">
      <c r="A62" s="133"/>
      <c r="B62" s="134"/>
      <c r="C62" s="27"/>
    </row>
    <row r="63" spans="1:5" ht="15.75" x14ac:dyDescent="0.25">
      <c r="A63" s="126"/>
      <c r="B63" s="128" t="s">
        <v>217</v>
      </c>
      <c r="C63" s="417">
        <f>SUM(C34,C49,C55,C61)</f>
        <v>12194000</v>
      </c>
    </row>
    <row r="65" spans="1:8" ht="15.75" x14ac:dyDescent="0.25">
      <c r="A65" s="128" t="s">
        <v>528</v>
      </c>
      <c r="B65" s="10"/>
      <c r="C65" s="280"/>
    </row>
    <row r="66" spans="1:8" ht="15.75" x14ac:dyDescent="0.25">
      <c r="A66" s="10"/>
      <c r="B66" s="135" t="s">
        <v>223</v>
      </c>
      <c r="C66" s="280"/>
      <c r="F66" s="431" t="s">
        <v>538</v>
      </c>
      <c r="G66" s="204"/>
      <c r="H66" s="12" t="s">
        <v>541</v>
      </c>
    </row>
    <row r="67" spans="1:8" ht="15.75" x14ac:dyDescent="0.25">
      <c r="A67" s="126" t="s">
        <v>46</v>
      </c>
      <c r="B67" s="10" t="s">
        <v>533</v>
      </c>
      <c r="C67" s="413">
        <v>19200000</v>
      </c>
      <c r="F67" s="424">
        <f>C67*0.2</f>
        <v>3840000</v>
      </c>
      <c r="G67" s="425"/>
      <c r="H67" s="425">
        <v>0.2</v>
      </c>
    </row>
    <row r="68" spans="1:8" ht="15.75" x14ac:dyDescent="0.25">
      <c r="A68" s="126" t="s">
        <v>47</v>
      </c>
      <c r="B68" s="132" t="s">
        <v>532</v>
      </c>
      <c r="C68" s="413">
        <v>13400000</v>
      </c>
      <c r="F68" s="424">
        <f>C68*0.1</f>
        <v>1340000</v>
      </c>
      <c r="G68" s="204"/>
      <c r="H68" s="425">
        <v>0.1</v>
      </c>
    </row>
    <row r="69" spans="1:8" ht="15.75" x14ac:dyDescent="0.25">
      <c r="A69" s="126" t="s">
        <v>48</v>
      </c>
      <c r="B69" s="132" t="s">
        <v>534</v>
      </c>
      <c r="C69" s="413">
        <v>3500000</v>
      </c>
      <c r="F69" s="424">
        <f>C69*0</f>
        <v>0</v>
      </c>
      <c r="G69" s="204"/>
      <c r="H69" s="425">
        <v>0</v>
      </c>
    </row>
    <row r="70" spans="1:8" ht="15.75" x14ac:dyDescent="0.25">
      <c r="A70" s="126" t="s">
        <v>49</v>
      </c>
      <c r="B70" s="10" t="s">
        <v>535</v>
      </c>
      <c r="C70" s="416">
        <v>400000</v>
      </c>
      <c r="F70" s="427">
        <f>C70*0</f>
        <v>0</v>
      </c>
      <c r="G70" s="428" t="s">
        <v>539</v>
      </c>
      <c r="H70" s="429">
        <v>0</v>
      </c>
    </row>
    <row r="71" spans="1:8" ht="15.75" x14ac:dyDescent="0.25">
      <c r="A71" s="10"/>
      <c r="B71" s="135" t="s">
        <v>226</v>
      </c>
      <c r="C71" s="330">
        <f>SUM(C66:C70)</f>
        <v>36500000</v>
      </c>
      <c r="F71" s="424">
        <f>SUM(F67:F70)</f>
        <v>5180000</v>
      </c>
      <c r="G71" s="424">
        <f>(C71-F71)</f>
        <v>31320000</v>
      </c>
      <c r="H71" s="430" t="s">
        <v>540</v>
      </c>
    </row>
    <row r="72" spans="1:8" ht="16.5" thickBot="1" x14ac:dyDescent="0.3">
      <c r="A72" s="10"/>
      <c r="B72" s="135" t="s">
        <v>227</v>
      </c>
      <c r="C72" s="330"/>
      <c r="G72" s="424">
        <f>(C83-F71)-C78</f>
        <v>-5180000</v>
      </c>
      <c r="H72" s="12"/>
    </row>
    <row r="73" spans="1:8" ht="15.75" x14ac:dyDescent="0.25">
      <c r="A73" s="128" t="s">
        <v>529</v>
      </c>
      <c r="B73" s="128"/>
      <c r="C73" s="417">
        <f>SUM(C71:C72)</f>
        <v>36500000</v>
      </c>
      <c r="F73" s="424"/>
      <c r="G73" s="425"/>
      <c r="H73" s="425"/>
    </row>
    <row r="74" spans="1:8" ht="16.5" thickBot="1" x14ac:dyDescent="0.3">
      <c r="A74" s="126"/>
      <c r="B74" s="10"/>
      <c r="C74" s="282"/>
      <c r="F74" s="424"/>
      <c r="G74" s="425"/>
      <c r="H74" s="425"/>
    </row>
    <row r="75" spans="1:8" ht="16.5" x14ac:dyDescent="0.25">
      <c r="A75" s="627" t="s">
        <v>530</v>
      </c>
      <c r="B75" s="627"/>
      <c r="C75" s="433">
        <f>C22+C27+C63+C73</f>
        <v>91130000</v>
      </c>
      <c r="F75" s="424"/>
      <c r="G75" s="425"/>
      <c r="H75" s="425"/>
    </row>
    <row r="76" spans="1:8" ht="15.75" x14ac:dyDescent="0.25">
      <c r="A76" s="151"/>
      <c r="B76" s="132"/>
      <c r="C76" s="27"/>
      <c r="F76" s="424"/>
      <c r="G76" s="425"/>
      <c r="H76" s="425"/>
    </row>
    <row r="77" spans="1:8" x14ac:dyDescent="0.25">
      <c r="F77" s="424"/>
      <c r="G77" s="425"/>
      <c r="H77" s="425"/>
    </row>
    <row r="78" spans="1:8" ht="15.75" x14ac:dyDescent="0.25">
      <c r="F78" s="424"/>
      <c r="G78" s="204"/>
      <c r="H78" s="426"/>
    </row>
    <row r="79" spans="1:8" ht="15.75" x14ac:dyDescent="0.25">
      <c r="F79" s="424"/>
      <c r="G79" s="204"/>
      <c r="H79" s="426"/>
    </row>
    <row r="80" spans="1:8" ht="15.75" x14ac:dyDescent="0.25">
      <c r="F80" s="424"/>
      <c r="G80" s="204"/>
      <c r="H80" s="426"/>
    </row>
    <row r="81" spans="6:8" ht="15.75" x14ac:dyDescent="0.25">
      <c r="F81" s="424"/>
      <c r="G81" s="204"/>
      <c r="H81" s="426"/>
    </row>
  </sheetData>
  <mergeCells count="3">
    <mergeCell ref="A1:C1"/>
    <mergeCell ref="A2:C2"/>
    <mergeCell ref="A75:B7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 sz. melléklet / &amp;P.oldal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33" sqref="E33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</cols>
  <sheetData>
    <row r="1" spans="1:6" ht="18.75" x14ac:dyDescent="0.3">
      <c r="A1" s="623" t="s">
        <v>457</v>
      </c>
      <c r="B1" s="623"/>
      <c r="C1" s="623"/>
    </row>
    <row r="2" spans="1:6" ht="18.75" x14ac:dyDescent="0.3">
      <c r="A2" s="623">
        <v>2013</v>
      </c>
      <c r="B2" s="623"/>
      <c r="C2" s="623"/>
    </row>
    <row r="3" spans="1:6" ht="15.75" x14ac:dyDescent="0.25">
      <c r="A3" s="126"/>
      <c r="B3" s="10"/>
      <c r="C3" s="147" t="s">
        <v>37</v>
      </c>
    </row>
    <row r="4" spans="1:6" ht="15.75" x14ac:dyDescent="0.25">
      <c r="A4" s="128" t="s">
        <v>183</v>
      </c>
      <c r="B4" s="10"/>
      <c r="C4" s="147"/>
    </row>
    <row r="5" spans="1:6" ht="15.75" x14ac:dyDescent="0.25">
      <c r="A5" s="126" t="s">
        <v>46</v>
      </c>
      <c r="B5" s="148" t="s">
        <v>458</v>
      </c>
      <c r="C5" s="413">
        <v>2537000</v>
      </c>
    </row>
    <row r="6" spans="1:6" ht="15.75" x14ac:dyDescent="0.25">
      <c r="A6" s="126"/>
      <c r="B6" s="11" t="s">
        <v>184</v>
      </c>
      <c r="C6" s="414">
        <f>SUM(C5:C5)</f>
        <v>2537000</v>
      </c>
    </row>
    <row r="7" spans="1:6" ht="15.75" x14ac:dyDescent="0.25">
      <c r="A7" s="128" t="s">
        <v>185</v>
      </c>
      <c r="B7" s="10"/>
      <c r="C7" s="415"/>
    </row>
    <row r="8" spans="1:6" ht="15.75" x14ac:dyDescent="0.25">
      <c r="A8" s="126" t="s">
        <v>46</v>
      </c>
      <c r="B8" s="148" t="s">
        <v>261</v>
      </c>
      <c r="C8" s="413"/>
    </row>
    <row r="9" spans="1:6" ht="15.75" x14ac:dyDescent="0.25">
      <c r="A9" s="126"/>
      <c r="B9" s="11" t="s">
        <v>265</v>
      </c>
      <c r="C9" s="330">
        <f>SUM(C8:C8)</f>
        <v>0</v>
      </c>
    </row>
    <row r="10" spans="1:6" ht="15.75" x14ac:dyDescent="0.25">
      <c r="A10" s="128" t="s">
        <v>186</v>
      </c>
      <c r="B10" s="10"/>
      <c r="C10" s="415"/>
    </row>
    <row r="11" spans="1:6" ht="15.75" x14ac:dyDescent="0.25">
      <c r="A11" s="126" t="s">
        <v>46</v>
      </c>
      <c r="B11" s="132" t="s">
        <v>268</v>
      </c>
      <c r="C11" s="416">
        <v>1680000</v>
      </c>
    </row>
    <row r="12" spans="1:6" ht="16.5" thickBot="1" x14ac:dyDescent="0.3">
      <c r="A12" s="133"/>
      <c r="B12" s="134" t="s">
        <v>269</v>
      </c>
      <c r="C12" s="330">
        <f>SUM(C11:C11)</f>
        <v>1680000</v>
      </c>
    </row>
    <row r="13" spans="1:6" ht="16.5" x14ac:dyDescent="0.25">
      <c r="A13" s="150" t="s">
        <v>187</v>
      </c>
      <c r="B13" s="151"/>
      <c r="C13" s="417">
        <f>C6+C9+C12</f>
        <v>4217000</v>
      </c>
    </row>
    <row r="14" spans="1:6" ht="15.75" x14ac:dyDescent="0.25">
      <c r="A14" s="126"/>
      <c r="B14" s="10"/>
      <c r="C14" s="415"/>
    </row>
    <row r="15" spans="1:6" ht="15.75" x14ac:dyDescent="0.25">
      <c r="A15" s="128" t="s">
        <v>188</v>
      </c>
      <c r="B15" s="10"/>
      <c r="C15" s="415"/>
    </row>
    <row r="16" spans="1:6" ht="15.75" x14ac:dyDescent="0.25">
      <c r="A16" s="126" t="s">
        <v>46</v>
      </c>
      <c r="B16" s="10" t="s">
        <v>270</v>
      </c>
      <c r="C16" s="413">
        <f>ROUND(SUM(C13,)*0.27,-3)</f>
        <v>1139000</v>
      </c>
      <c r="F16" s="413"/>
    </row>
    <row r="17" spans="1:5" ht="15.75" x14ac:dyDescent="0.25">
      <c r="A17" s="138"/>
      <c r="B17" s="134" t="s">
        <v>189</v>
      </c>
      <c r="C17" s="414">
        <f>SUM(C16,)</f>
        <v>1139000</v>
      </c>
    </row>
    <row r="18" spans="1:5" ht="15.75" x14ac:dyDescent="0.25">
      <c r="A18" s="10"/>
      <c r="B18" s="135"/>
      <c r="C18" s="330"/>
    </row>
    <row r="19" spans="1:5" ht="15.75" x14ac:dyDescent="0.25">
      <c r="A19" s="128" t="s">
        <v>190</v>
      </c>
      <c r="B19" s="10"/>
      <c r="C19" s="415"/>
      <c r="E19" t="s">
        <v>623</v>
      </c>
    </row>
    <row r="20" spans="1:5" ht="15.75" x14ac:dyDescent="0.25">
      <c r="A20" s="126" t="s">
        <v>46</v>
      </c>
      <c r="B20" s="10" t="s">
        <v>191</v>
      </c>
      <c r="C20" s="413">
        <v>20000</v>
      </c>
      <c r="E20" s="295">
        <f>C20</f>
        <v>20000</v>
      </c>
    </row>
    <row r="21" spans="1:5" ht="15.75" x14ac:dyDescent="0.25">
      <c r="A21" s="126" t="s">
        <v>47</v>
      </c>
      <c r="B21" s="10" t="s">
        <v>192</v>
      </c>
      <c r="C21" s="413">
        <v>250000</v>
      </c>
      <c r="E21" s="295">
        <f t="shared" ref="E21:E27" si="0">C21</f>
        <v>250000</v>
      </c>
    </row>
    <row r="22" spans="1:5" ht="15.75" x14ac:dyDescent="0.25">
      <c r="A22" s="126" t="s">
        <v>48</v>
      </c>
      <c r="B22" s="10" t="s">
        <v>193</v>
      </c>
      <c r="C22" s="413">
        <v>150000</v>
      </c>
      <c r="E22" s="295">
        <f t="shared" si="0"/>
        <v>150000</v>
      </c>
    </row>
    <row r="23" spans="1:5" ht="15.75" x14ac:dyDescent="0.25">
      <c r="A23" s="126" t="s">
        <v>49</v>
      </c>
      <c r="B23" s="10" t="s">
        <v>194</v>
      </c>
      <c r="C23" s="413"/>
      <c r="E23" s="295">
        <f t="shared" si="0"/>
        <v>0</v>
      </c>
    </row>
    <row r="24" spans="1:5" ht="15.75" x14ac:dyDescent="0.25">
      <c r="A24" s="126" t="s">
        <v>50</v>
      </c>
      <c r="B24" s="10" t="s">
        <v>570</v>
      </c>
      <c r="C24" s="416"/>
      <c r="E24" s="295">
        <f t="shared" si="0"/>
        <v>0</v>
      </c>
    </row>
    <row r="25" spans="1:5" ht="15.75" x14ac:dyDescent="0.25">
      <c r="A25" s="126"/>
      <c r="B25" s="11" t="s">
        <v>195</v>
      </c>
      <c r="C25" s="27">
        <f>SUM(C20:C24)</f>
        <v>420000</v>
      </c>
      <c r="E25" s="295"/>
    </row>
    <row r="26" spans="1:5" ht="15.75" x14ac:dyDescent="0.25">
      <c r="A26" s="126" t="s">
        <v>51</v>
      </c>
      <c r="B26" s="10" t="s">
        <v>455</v>
      </c>
      <c r="C26" s="413">
        <v>142000</v>
      </c>
      <c r="E26" s="295">
        <f t="shared" si="0"/>
        <v>142000</v>
      </c>
    </row>
    <row r="27" spans="1:5" ht="15.75" x14ac:dyDescent="0.25">
      <c r="A27" s="126" t="s">
        <v>52</v>
      </c>
      <c r="B27" s="10" t="s">
        <v>199</v>
      </c>
      <c r="C27" s="413">
        <v>1732000</v>
      </c>
      <c r="E27" s="295">
        <f t="shared" si="0"/>
        <v>1732000</v>
      </c>
    </row>
    <row r="28" spans="1:5" ht="15.75" x14ac:dyDescent="0.25">
      <c r="A28" s="126" t="s">
        <v>53</v>
      </c>
      <c r="B28" s="10" t="s">
        <v>200</v>
      </c>
      <c r="C28" s="413">
        <v>354000</v>
      </c>
      <c r="E28" s="295">
        <f>C28</f>
        <v>354000</v>
      </c>
    </row>
    <row r="29" spans="1:5" ht="15.75" x14ac:dyDescent="0.25">
      <c r="A29" s="126" t="s">
        <v>54</v>
      </c>
      <c r="B29" s="10" t="s">
        <v>201</v>
      </c>
      <c r="C29" s="413">
        <v>39000</v>
      </c>
      <c r="E29" s="295">
        <f t="shared" ref="E29:E33" si="1">C29</f>
        <v>39000</v>
      </c>
    </row>
    <row r="30" spans="1:5" ht="15.75" x14ac:dyDescent="0.25">
      <c r="A30" s="126" t="s">
        <v>55</v>
      </c>
      <c r="B30" s="10" t="s">
        <v>272</v>
      </c>
      <c r="C30" s="413">
        <v>70000</v>
      </c>
      <c r="E30" s="295">
        <f t="shared" si="1"/>
        <v>70000</v>
      </c>
    </row>
    <row r="31" spans="1:5" ht="15.75" x14ac:dyDescent="0.25">
      <c r="A31" s="126" t="s">
        <v>56</v>
      </c>
      <c r="B31" s="10" t="s">
        <v>202</v>
      </c>
      <c r="C31" s="413">
        <v>100000</v>
      </c>
      <c r="E31" s="295"/>
    </row>
    <row r="32" spans="1:5" ht="15.75" x14ac:dyDescent="0.25">
      <c r="A32" s="126" t="s">
        <v>57</v>
      </c>
      <c r="B32" s="10" t="s">
        <v>658</v>
      </c>
      <c r="C32" s="413">
        <f>Redezvények!E14</f>
        <v>1315000</v>
      </c>
      <c r="E32" s="295">
        <f t="shared" ref="E32" si="2">C32</f>
        <v>1315000</v>
      </c>
    </row>
    <row r="33" spans="1:5" ht="15.75" x14ac:dyDescent="0.25">
      <c r="A33" s="126" t="s">
        <v>58</v>
      </c>
      <c r="B33" s="10" t="s">
        <v>203</v>
      </c>
      <c r="C33" s="413">
        <v>500000</v>
      </c>
      <c r="E33" s="295">
        <f t="shared" si="1"/>
        <v>500000</v>
      </c>
    </row>
    <row r="34" spans="1:5" ht="15.75" x14ac:dyDescent="0.25">
      <c r="A34" s="126"/>
      <c r="B34" s="10" t="s">
        <v>547</v>
      </c>
      <c r="C34" s="416"/>
      <c r="E34" s="295"/>
    </row>
    <row r="35" spans="1:5" ht="16.5" thickBot="1" x14ac:dyDescent="0.3">
      <c r="A35" s="126"/>
      <c r="B35" s="11" t="s">
        <v>206</v>
      </c>
      <c r="C35" s="27">
        <f>SUM(C26:C33)</f>
        <v>4252000</v>
      </c>
      <c r="E35" s="295"/>
    </row>
    <row r="36" spans="1:5" ht="16.5" thickBot="1" x14ac:dyDescent="0.3">
      <c r="A36" s="126" t="s">
        <v>59</v>
      </c>
      <c r="B36" s="10" t="s">
        <v>207</v>
      </c>
      <c r="C36" s="413">
        <f>E36</f>
        <v>1234000</v>
      </c>
      <c r="E36" s="469">
        <f>ROUND((SUM(E20:E34)*0.27),-3)</f>
        <v>1234000</v>
      </c>
    </row>
    <row r="37" spans="1:5" ht="15.75" x14ac:dyDescent="0.25">
      <c r="A37" s="126" t="s">
        <v>60</v>
      </c>
      <c r="B37" s="10" t="s">
        <v>566</v>
      </c>
      <c r="C37" s="413">
        <v>54000</v>
      </c>
    </row>
    <row r="38" spans="1:5" ht="15.75" x14ac:dyDescent="0.25">
      <c r="A38" s="126" t="s">
        <v>61</v>
      </c>
      <c r="B38" s="10" t="s">
        <v>210</v>
      </c>
      <c r="C38" s="416">
        <v>30000</v>
      </c>
    </row>
    <row r="39" spans="1:5" ht="15.75" x14ac:dyDescent="0.25">
      <c r="A39" s="126"/>
      <c r="B39" s="11" t="s">
        <v>211</v>
      </c>
      <c r="C39" s="27">
        <f>SUM(C36:C38)</f>
        <v>1318000</v>
      </c>
    </row>
    <row r="40" spans="1:5" ht="15.75" x14ac:dyDescent="0.25">
      <c r="A40" s="126" t="s">
        <v>127</v>
      </c>
      <c r="B40" s="10" t="s">
        <v>212</v>
      </c>
      <c r="C40" s="413"/>
    </row>
    <row r="41" spans="1:5" ht="15.75" x14ac:dyDescent="0.25">
      <c r="A41" s="126" t="s">
        <v>129</v>
      </c>
      <c r="B41" s="10" t="s">
        <v>213</v>
      </c>
      <c r="C41" s="415"/>
    </row>
    <row r="42" spans="1:5" ht="15.75" x14ac:dyDescent="0.25">
      <c r="A42" s="126" t="s">
        <v>130</v>
      </c>
      <c r="B42" s="10" t="s">
        <v>214</v>
      </c>
      <c r="C42" s="413"/>
    </row>
    <row r="43" spans="1:5" ht="15.75" x14ac:dyDescent="0.25">
      <c r="A43" s="126" t="s">
        <v>132</v>
      </c>
      <c r="B43" s="10" t="s">
        <v>215</v>
      </c>
      <c r="C43" s="413"/>
    </row>
    <row r="44" spans="1:5" ht="16.5" thickBot="1" x14ac:dyDescent="0.3">
      <c r="A44" s="133"/>
      <c r="B44" s="134" t="s">
        <v>216</v>
      </c>
      <c r="C44" s="414">
        <f>SUM(C40:C43)</f>
        <v>0</v>
      </c>
    </row>
    <row r="45" spans="1:5" ht="15.75" x14ac:dyDescent="0.25">
      <c r="A45" s="126"/>
      <c r="B45" s="128" t="s">
        <v>217</v>
      </c>
      <c r="C45" s="417">
        <f>SUM(C25,C35,C39,C44)</f>
        <v>5990000</v>
      </c>
    </row>
    <row r="46" spans="1:5" ht="16.5" thickBot="1" x14ac:dyDescent="0.3">
      <c r="A46" s="126"/>
      <c r="B46" s="10"/>
      <c r="C46" s="413"/>
    </row>
    <row r="47" spans="1:5" ht="16.5" x14ac:dyDescent="0.25">
      <c r="A47" s="627" t="s">
        <v>273</v>
      </c>
      <c r="B47" s="627"/>
      <c r="C47" s="433">
        <f>C13+C17+C45</f>
        <v>11346000</v>
      </c>
    </row>
    <row r="48" spans="1:5" ht="15.75" x14ac:dyDescent="0.25">
      <c r="A48" s="151"/>
      <c r="B48" s="132"/>
      <c r="C48" s="27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&amp;R6./A. sz. melléklet / &amp;P.oldal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1.</vt:lpstr>
      <vt:lpstr>2.</vt:lpstr>
      <vt:lpstr>2_A</vt:lpstr>
      <vt:lpstr>3.</vt:lpstr>
      <vt:lpstr>4.</vt:lpstr>
      <vt:lpstr>5.</vt:lpstr>
      <vt:lpstr>5_A_Feladatok</vt:lpstr>
      <vt:lpstr>6.</vt:lpstr>
      <vt:lpstr>6_A_könyvtár</vt:lpstr>
      <vt:lpstr>Redezvények</vt:lpstr>
      <vt:lpstr>6_B_Konyha</vt:lpstr>
      <vt:lpstr>6_C_Gondkp</vt:lpstr>
      <vt:lpstr>6_D_Ovoda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Antal</cp:lastModifiedBy>
  <cp:lastPrinted>2013-04-22T14:16:48Z</cp:lastPrinted>
  <dcterms:created xsi:type="dcterms:W3CDTF">2012-10-07T19:05:57Z</dcterms:created>
  <dcterms:modified xsi:type="dcterms:W3CDTF">2013-04-24T11:05:07Z</dcterms:modified>
</cp:coreProperties>
</file>